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'WPF_AnalizaWsk_Projektowanie'!$A$8:$AN$104</definedName>
    <definedName name="_xlnm.Print_Titles" localSheetId="2">('WPF_AnalizaWsk_Projektowanie'!$A:$F,'WPF_AnalizaWsk_Projektowanie'!$8:$9)</definedName>
    <definedName name="_xlnm.Print_Area" localSheetId="0">'Zał.1_WPF_bazowy'!$A$1:$S$97</definedName>
    <definedName name="_xlnm.Print_Titles" localSheetId="0">('Zał.1_WPF_bazowy'!$A:$E,'Zał.1_WPF_bazowy'!$1:$2)</definedName>
  </definedNames>
  <calcPr fullCalcOnLoad="1"/>
</workbook>
</file>

<file path=xl/sharedStrings.xml><?xml version="1.0" encoding="utf-8"?>
<sst xmlns="http://schemas.openxmlformats.org/spreadsheetml/2006/main" count="3582" uniqueCount="504">
  <si>
    <t>WIELOLETNIA PROGNOZA FINANSOWA GMINY MIASTO BRZEZINY NA LATA 2013-2022</t>
  </si>
  <si>
    <t xml:space="preserve">Wykonanie </t>
  </si>
  <si>
    <t>Plan 3 kw.</t>
  </si>
  <si>
    <t>Załącznik Nr 1 do Uchwały Nr XXXII/139/2013                   Rady Miasta Brzeziny z dn.26 marca 2013 r.</t>
  </si>
  <si>
    <t>Lp.</t>
  </si>
  <si>
    <t>Wyszczególnienie</t>
  </si>
  <si>
    <t>2010</t>
  </si>
  <si>
    <t>2011</t>
  </si>
  <si>
    <t>2012</t>
  </si>
  <si>
    <t>Dochody ogółem</t>
  </si>
  <si>
    <t>1.1</t>
  </si>
  <si>
    <t>Dochody bieżące, w tym: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</si>
  <si>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</si>
  <si>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</si>
  <si>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</si>
  <si>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</si>
  <si>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</si>
  <si>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opłaty, w tym: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</si>
  <si>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</si>
  <si>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</si>
  <si>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</si>
  <si>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</si>
  <si>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</si>
  <si>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</si>
  <si>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</si>
  <si>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</si>
  <si>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</si>
  <si>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</si>
  <si>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</si>
  <si>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</si>
  <si>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</si>
  <si>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</si>
  <si>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</si>
  <si>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</si>
  <si>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gwarancji, w tym:</t>
  </si>
  <si>
    <t>2.1.1.1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</si>
  <si>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</si>
  <si>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</si>
  <si>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</si>
  <si>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x</t>
  </si>
  <si>
    <t>2.1.3</t>
  </si>
  <si>
    <t>wydatki na obsługę długu, w tym:</t>
  </si>
  <si>
    <t>2.1.3.1</t>
  </si>
  <si>
    <t>odsetki i dyskonto określone w art.243 ust.1 ustawy lub art.169 ust.1 ufp z 2005 r..</t>
  </si>
  <si>
    <t>2.2</t>
  </si>
  <si>
    <t>Wydatki majątkowe</t>
  </si>
  <si>
    <t>Wynik budżetu</t>
  </si>
  <si>
    <t>Przychody budżetu</t>
  </si>
  <si>
    <t>4.1</t>
  </si>
  <si>
    <t>Nadwyżka budżetowa z lat ubiegłych, w tym:</t>
  </si>
  <si>
    <t>4.1.1</t>
  </si>
  <si>
    <t>na pokrycie deficytu budżetu</t>
  </si>
  <si>
    <t>4.2</t>
  </si>
  <si>
    <t>Wolne środki, o których mowa w art. 217 ust.2 pkt 6 ustawy, w tym:</t>
  </si>
  <si>
    <t>4.2.1</t>
  </si>
  <si>
    <t>4.3</t>
  </si>
  <si>
    <t>Kredyty, pożyczki, emisja papierów wartościowych, w tym:</t>
  </si>
  <si>
    <t>4.3.1</t>
  </si>
  <si>
    <t>4.4</t>
  </si>
  <si>
    <t>Inne przychody niezwiązane z zaciągnięciem długu, w tym:</t>
  </si>
  <si>
    <t>4.4.1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</si>
  <si>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</si>
  <si>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</si>
  <si>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</si>
  <si>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</si>
  <si>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</si>
  <si>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5.1.1.1</t>
  </si>
  <si>
    <t>kwota przypadających na dany rok kwot wyłączeń określonych w art. 243 ust. 3 pkt 1 ustawy lub art. 169 ust. 3 pkt 1 ufp z 2005 r.</t>
  </si>
  <si>
    <t>5.2</t>
  </si>
  <si>
    <t>Inne rozchody niezwiązane ze spłatą długu</t>
  </si>
  <si>
    <t>Kwota długu</t>
  </si>
  <si>
    <t>6.1</t>
  </si>
  <si>
    <t xml:space="preserve">Łączna kwota wyłączeń z ograniczeń długu określonych w art. 170 ust. 3 ufp z 2005 r. oraz w art.  36 ustawy o zmianie niektórych ustaw związanych z realizacją ustawy budżetowej, w tym: </t>
  </si>
  <si>
    <t>6.1.1</t>
  </si>
  <si>
    <t xml:space="preserve">kwota wyłączeń z ograniczeń długu określonych w art. 170 ust. 3 ufp z 2005 r. </t>
  </si>
  <si>
    <t>6.2</t>
  </si>
  <si>
    <t>Wskaźnik zadłużenia do dochodów ogółem określony w art. 170 ufp z 2005 r.,  bez uwzględniania wyłączeń określonych w pkt 6.1.</t>
  </si>
  <si>
    <t>6.3</t>
  </si>
  <si>
    <r>
      <t xml:space="preserve">Wskaźnik zadłużenia do dochodów ogółem, o którym mowa w art.  170 ufp z 2005 r., </t>
    </r>
    <r>
      <rPr>
        <b/>
        <sz val="8.5"/>
        <color indexed="8"/>
        <rFont val="Times New Roman"/>
        <family val="1"/>
      </rPr>
      <t xml:space="preserve">po uwzględnieniu wyłączeń określonych w pkt 6.1. </t>
    </r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</si>
  <si>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</si>
  <si>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</si>
  <si>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8.1</t>
  </si>
  <si>
    <t>Różnica między dochodami bieżącymi a wydatkami bieżącymi</t>
  </si>
  <si>
    <t>8.2</t>
  </si>
  <si>
    <t>Różnica między dochodami bieżącymi, powiększonymi o nadwyżkę budżetową określoną w pkt 4.1. i wolne środki określone w pkt 4.2.  a wydatkami bieżącymi, pomniejszonym o wydatki określone w pkt  2.1.2.</t>
  </si>
  <si>
    <t>Wskaźnik spłaty zobowiązań</t>
  </si>
  <si>
    <t>9.1</t>
  </si>
  <si>
    <t xml:space="preserve">Wskaźnik planowanej łącznej kwoty spłaty zobowiązań, o której mowa w art. 169 ust. 1 ufp z 2005 r. do dochodów ogółem, bez uwzględnienia wyłączeń określonych w pkt 5.1.1.  </t>
  </si>
  <si>
    <t>9.2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</si>
  <si>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</si>
  <si>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>9.3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</si>
  <si>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</si>
  <si>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>9.4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</si>
  <si>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</si>
  <si>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9.5</t>
  </si>
  <si>
    <t xml:space="preserve">Kwota zobowiązań związku współtworzonego przez jednostkę samorządu terytorialnego przypadających do spłaty w danym roku budżetowym, podlegająca doliczeniu zgodnie z art. 244 ustawy </t>
  </si>
  <si>
    <t>9.6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</si>
  <si>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</si>
  <si>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</si>
  <si>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>Wskaźnik jednoroczny (prawa strona wzoru z art. 243)</t>
  </si>
  <si>
    <t>9.7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</si>
  <si>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</si>
  <si>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</si>
  <si>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</si>
  <si>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9.8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</si>
  <si>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</si>
  <si>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</si>
  <si>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</si>
  <si>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</si>
  <si>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</si>
  <si>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</si>
  <si>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</si>
  <si>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</si>
  <si>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</si>
  <si>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</si>
  <si>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</si>
  <si>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</si>
  <si>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 art. 226 ust. 3 ustawy, z tego: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</si>
  <si>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</si>
  <si>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</si>
  <si>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</si>
  <si>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</si>
  <si>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</si>
  <si>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</si>
  <si>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</si>
  <si>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</si>
  <si>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</si>
  <si>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</si>
  <si>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</si>
  <si>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</si>
  <si>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ustawy, w tym:</t>
  </si>
  <si>
    <t>12.1.1</t>
  </si>
  <si>
    <t>środki określone w art. 5 ust. 1 pkt 2 ustawy, w tym:</t>
  </si>
  <si>
    <t>12.1.1.1</t>
  </si>
  <si>
    <t>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</si>
  <si>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</si>
  <si>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ustawy, w tym:</t>
  </si>
  <si>
    <t>12.2.1</t>
  </si>
  <si>
    <t>12.2.1.1</t>
  </si>
  <si>
    <t>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</si>
  <si>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</si>
  <si>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</si>
  <si>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</si>
  <si>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</si>
  <si>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</si>
  <si>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</si>
  <si>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</si>
  <si>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</si>
  <si>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</si>
  <si>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</si>
  <si>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</si>
  <si>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</si>
  <si>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</si>
  <si>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</si>
  <si>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</si>
  <si>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</si>
  <si>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</si>
  <si>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</si>
  <si>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</si>
  <si>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</si>
  <si>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</si>
  <si>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</si>
  <si>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</si>
  <si>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</si>
  <si>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</si>
  <si>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</si>
  <si>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</si>
  <si>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</si>
  <si>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</si>
  <si>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</si>
  <si>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</si>
  <si>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</si>
  <si>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</si>
  <si>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tym: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</si>
  <si>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</si>
  <si>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</si>
  <si>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</si>
  <si>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</si>
  <si>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</si>
  <si>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</si>
  <si>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</si>
  <si>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(m.in. umorzenia, różnice kursowe)</t>
  </si>
  <si>
    <t>PRZEWODNICZĄCY RADY</t>
  </si>
  <si>
    <t>UWAGA!</t>
  </si>
  <si>
    <t>Zbigniew Bączyński</t>
  </si>
  <si>
    <t>Do symulacji prognozy i obserwacji zmian wskaźników z art. 243, 169 i 170 na podstawie danych wprowadzanych ręcznie służy arkusz "WPF_AnalizaWsk_Projektowanie"</t>
  </si>
  <si>
    <t>Weryfikacja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</si>
  <si>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</si>
  <si>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</si>
  <si>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</si>
  <si>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</si>
  <si>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</si>
  <si>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</si>
  <si>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Spełnienie wskaźnika z art. 169 suofp (bez wyłączeń)</t>
  </si>
  <si>
    <t>Spełnienie wskaźnika z art. 169 suofp (z wyłączeniami)</t>
  </si>
  <si>
    <t>Spełnienie wskaźnika z art. 170 suofp (bez wyłączeń)</t>
  </si>
  <si>
    <t>Spełnienie wskaźnika z art. 170 suofp (z wyłączeniami)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</si>
  <si>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</si>
  <si>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</si>
  <si>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</si>
  <si>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</si>
  <si>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([7]"n"-[7]"n-1") + ([14.2]"n"-[14.2]"n-1") + [14.4]</t>
  </si>
  <si>
    <t>Kontrola poprawności wyliczenia kwoty długu</t>
  </si>
  <si>
    <t xml:space="preserve">[14.2] "n" =  obliczone z kol ( [14.2]  "n-1" -  [14.3] "n" ) </t>
  </si>
  <si>
    <t>Kontrola poprawności wyliczenia kwoty długu planowanego do spłaty z wydatków budżetu (różnica nie powinna być dodatnia)</t>
  </si>
  <si>
    <t xml:space="preserve">[13.1] "n" =  obliczone z kol "n-1"  ( [13.1]  -  ( [13.3] + [13.4] + [13.5] + [13.6] ) </t>
  </si>
  <si>
    <t>Kontrola poprawności wyliczenia zobowiązań wynikających z przejęcia przez jst zobowiązań po likwidowanych i przekształcanych SZOZ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</si>
  <si>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</si>
  <si>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</si>
  <si>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</si>
  <si>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</si>
  <si>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</si>
  <si>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</si>
  <si>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</si>
  <si>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</si>
  <si>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</si>
  <si>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</si>
  <si>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</si>
  <si>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</si>
  <si>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</si>
  <si>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</si>
  <si>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</si>
  <si>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</si>
  <si>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</si>
  <si>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</si>
  <si>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[10] &gt;= [10.1]</t>
  </si>
  <si>
    <t>Reguła logiczna:  [10] &gt;= [10.1]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</si>
  <si>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</si>
  <si>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</si>
  <si>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</si>
  <si>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</si>
  <si>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</si>
  <si>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</si>
  <si>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</si>
  <si>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</si>
  <si>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</si>
  <si>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</si>
  <si>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</si>
  <si>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</si>
  <si>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</si>
  <si>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</si>
  <si>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</si>
  <si>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</si>
  <si>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</si>
  <si>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</si>
  <si>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</si>
  <si>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</si>
  <si>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</si>
  <si>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</si>
  <si>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</si>
  <si>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</si>
  <si>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</si>
  <si>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</si>
  <si>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</si>
  <si>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</si>
  <si>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</si>
  <si>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</si>
  <si>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</si>
  <si>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</si>
  <si>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</si>
  <si>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</si>
  <si>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</si>
  <si>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</si>
  <si>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</si>
  <si>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</si>
  <si>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</si>
  <si>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</si>
  <si>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</si>
  <si>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</si>
  <si>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</si>
  <si>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</si>
  <si>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</si>
  <si>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</si>
  <si>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</si>
  <si>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</si>
  <si>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</si>
  <si>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</si>
  <si>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</si>
  <si>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</si>
  <si>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</si>
  <si>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</si>
  <si>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</si>
  <si>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</si>
  <si>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[5.1.1] &gt;= [5.1.1.1]</t>
  </si>
  <si>
    <t>Reguła logiczna:  [5.1.1] &gt;= [5.1.1.1]</t>
  </si>
  <si>
    <t>[5.1] &gt;= [10.1]</t>
  </si>
  <si>
    <t>Reguła logiczna:  [5.1] &gt;= [10.1]</t>
  </si>
  <si>
    <t>[5.1] &gt;= [14.1]</t>
  </si>
  <si>
    <t>Reguła logiczna:  [5.1] &gt;= [14.1]</t>
  </si>
  <si>
    <t>[6] &gt;= [6.1]</t>
  </si>
  <si>
    <t>Reguła logiczna:  [6] &gt;= [6.1]</t>
  </si>
  <si>
    <t>[6] &gt;=[7]</t>
  </si>
  <si>
    <t>Reguła logiczna:  [6] &gt;=[7]</t>
  </si>
  <si>
    <t>[6] &gt;= [14.2]</t>
  </si>
  <si>
    <t>Reguła logiczna:  [6] &gt;= [14.2]</t>
  </si>
  <si>
    <t>[6.1] &gt;= [6.1.1]</t>
  </si>
  <si>
    <t>Reguła logiczna:  [6.1] &gt;= [6.1.1]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</si>
  <si>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</si>
  <si>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</si>
  <si>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</si>
  <si>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</si>
  <si>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</si>
  <si>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</si>
  <si>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</si>
  <si>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</si>
  <si>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</si>
  <si>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</si>
  <si>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</si>
  <si>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</si>
  <si>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</si>
  <si>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</si>
  <si>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</si>
  <si>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</si>
  <si>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DYNAMIKA podstawowych wielkości z prognozy</t>
  </si>
  <si>
    <t>-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</si>
  <si>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</si>
  <si>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</si>
  <si>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</si>
  <si>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</si>
  <si>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dochody ze sprzedaży majątku</t>
  </si>
  <si>
    <t>wydatki ogółem bez wydatków na projekty finansowane i współfinansowane środkami UE</t>
  </si>
  <si>
    <t>wydatki bieżące ogółem</t>
  </si>
  <si>
    <t>wydatki bieżące ogółem bez wydatków na projekty współfinansowane środkami UE</t>
  </si>
  <si>
    <t>wydatki bieżące na wynagrodzenia i składki od nich naliczane</t>
  </si>
  <si>
    <t>pozostałe wydatki bieżące (wydatki bieżące bez wynagrodzeń i pochodnych oraz wydatków związanych z funkcjonowaniem organów jst, wydatków na obsługę długu  oraz poręczeń i gwarancji)</t>
  </si>
  <si>
    <t>WIELKOŚĆ ZMIAN w podstawowych kwotach prognozy</t>
  </si>
  <si>
    <t>PODSTAWOWE wielkości ujęte w prognozie</t>
  </si>
  <si>
    <t xml:space="preserve">DYNAMIKA kwot ujętych w WPF </t>
  </si>
  <si>
    <t>na programy, projekty lub zadania finansowane z udziałem środków, o których mowa w art. 5 ust. 1 pkt 2 i 3 uofp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</si>
  <si>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</si>
  <si>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</si>
  <si>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</si>
  <si>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</si>
  <si>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</si>
  <si>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</si>
  <si>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na wynagrodzenia i składki od nich naliczane</t>
  </si>
  <si>
    <t>związane z funkcjonowaniem organów JST</t>
  </si>
  <si>
    <t>bieżące objęte limitem art. 226 ust. 4 uofp</t>
  </si>
  <si>
    <t>majątkowe objęte limitem art. 226 ust. 4 uofp</t>
  </si>
  <si>
    <t>Analiza graficzna danych z WPF</t>
  </si>
  <si>
    <t>Rysunek z wskaźnikiem planistycznym</t>
  </si>
  <si>
    <t>Rysunek z wskaźnikiem wg wykonania</t>
  </si>
  <si>
    <t>Zestawienie wygenerowane na podstawie danych wprowadzonych do systemu BESTI@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</si>
  <si>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</si>
  <si>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</si>
  <si>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</si>
  <si>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Ministra Finansów z dnia 10.01.2013 (Dz.U. z 2013 r., poz. 86)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</si>
  <si>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</si>
  <si>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</si>
  <si>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</si>
  <si>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</si>
  <si>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Formuła</t>
  </si>
  <si>
    <t>Wykonanie      2010</t>
  </si>
  <si>
    <t>Wykonanie     2011</t>
  </si>
  <si>
    <t>Plan                         3 kw. 2012</t>
  </si>
  <si>
    <t>Wykonanie 2012</t>
  </si>
  <si>
    <t>[1.1]+[1.2]</t>
  </si>
  <si>
    <t>[2.1]+[2.2]</t>
  </si>
  <si>
    <t>odsetki i dyskonto określone w art. 243 ust. 1 ustawy lub art. 169 ust. 1 ufp z 2005 r..</t>
  </si>
  <si>
    <t>[1]-[2]</t>
  </si>
  <si>
    <t>[4.1]+[4.2]+[4.3]+[4.4]</t>
  </si>
  <si>
    <t>[5.1]+[5.2]</t>
  </si>
  <si>
    <t xml:space="preserve">kwota wyłączeń z ograniczeń długu określonych w art. 170 ust. 3 ufp         z 2005 r. </t>
  </si>
  <si>
    <t>[6]/[1]</t>
  </si>
  <si>
    <t xml:space="preserve">Wskaźnik zadłużenia do dochodów ogółem określony w art. 170 ufp               z 2005 r., bez uwzględniania wyłączeń określonych w pkt 6.1.   </t>
  </si>
  <si>
    <t>([6]-[6.1])/[1]</t>
  </si>
  <si>
    <t xml:space="preserve">Wskaźnik zadłużenia do dochodów ogółem, o którym mowa w art.  170 ufp     z 2005 r., po uwzględnieniu wyłączeń określonych w pkt 6.1. </t>
  </si>
  <si>
    <t>[1.1]-[2.1]</t>
  </si>
  <si>
    <t>[1.1]+[4.1]+[4.2]-([2.1]-[2.1.2])</t>
  </si>
  <si>
    <t>([2.1.1]+[2.1.3.1]+[5.1])/[1]</t>
  </si>
  <si>
    <t>([2.1.1]+[2.1.3.1]+[5.1]-[5.1.1])/[1]</t>
  </si>
  <si>
    <t>([2.1.1]+[2.1.3.1]+[5.1]+[9.5]-[5.1.1])/[1]</t>
  </si>
  <si>
    <t>[1.1]+[1.2.1]-[2.1]/[1]</t>
  </si>
  <si>
    <t>Wskaźnik jednoroczny</t>
  </si>
  <si>
    <t>średnia z trzech poprzednich lat [9.6.1]</t>
  </si>
  <si>
    <t>[9.6]-[9.7]</t>
  </si>
  <si>
    <t>[9.6]-[9.7.1]</t>
  </si>
  <si>
    <t>[11.3.1]+[11.3.2]</t>
  </si>
  <si>
    <t xml:space="preserve">[14.2] "n" =  obliczone z kol ( [14.2]  "n-1"  -  [14.3]"n" ) </t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</si>
  <si>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</si>
  <si>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</si>
  <si>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</si>
  <si>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</si>
  <si>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</si>
  <si>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</si>
  <si>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</si>
  <si>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</si>
  <si>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</si>
  <si>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</si>
  <si>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</si>
  <si>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</si>
  <si>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</si>
  <si>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</si>
  <si>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 xml:space="preserve"> Wydatki bieżące, w tym:</t>
  </si>
  <si>
    <t xml:space="preserve">  z tytułu poręczeń i gwarancji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</si>
  <si>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</si>
  <si>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</si>
  <si>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 xml:space="preserve">  wydatki na obsługę długu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</si>
  <si>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</si>
  <si>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</si>
  <si>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</si>
  <si>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</si>
  <si>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</si>
  <si>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</si>
  <si>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</si>
  <si>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</si>
  <si>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 xml:space="preserve"> Spłaty rat kapitałowych kredytów i pożyczek oraz wykup papierów wartościowych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</si>
  <si>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</si>
  <si>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</si>
  <si>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</si>
  <si>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</si>
  <si>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</si>
  <si>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</si>
  <si>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</si>
  <si>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</si>
  <si>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</si>
  <si>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</si>
  <si>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</si>
  <si>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</si>
  <si>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</si>
  <si>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</si>
  <si>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</si>
  <si>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</si>
  <si>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</si>
  <si>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</si>
  <si>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</si>
  <si>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</si>
  <si>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</si>
  <si>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</si>
  <si>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</si>
  <si>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</si>
  <si>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</si>
  <si>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</si>
  <si>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</si>
  <si>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</si>
  <si>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</si>
  <si>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</si>
  <si>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</si>
  <si>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</si>
  <si>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</si>
  <si>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</si>
  <si>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</si>
  <si>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</si>
  <si>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</si>
  <si>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</si>
  <si>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</si>
  <si>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</si>
  <si>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</si>
  <si>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</si>
  <si>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</si>
  <si>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</si>
  <si>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</si>
  <si>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</si>
  <si>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</si>
  <si>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</si>
  <si>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</si>
  <si>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</si>
  <si>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</si>
  <si>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</si>
  <si>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</si>
  <si>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</si>
  <si>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</si>
  <si>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</si>
  <si>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</si>
  <si>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</si>
  <si>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</si>
  <si>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</si>
  <si>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</si>
  <si>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</si>
  <si>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</si>
  <si>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</si>
  <si>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</si>
  <si>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</si>
  <si>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</si>
  <si>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</si>
  <si>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</si>
  <si>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</si>
  <si>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</si>
  <si>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</si>
  <si>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</si>
  <si>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</si>
  <si>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Uchwała z 28 marca 2013 r.</t>
  </si>
  <si>
    <t>BRZEZINY</t>
  </si>
  <si>
    <t>[1.1] + [1.2]</t>
  </si>
  <si>
    <t>([6] - [6.1]) / [1]</t>
  </si>
  <si>
    <t>([2.1.1] + [2.1.3.1] + [5.1] - [5.1.1] ) / [1]</t>
  </si>
  <si>
    <t>[4.1] + [4.2] + [4.3] + [4.4]</t>
  </si>
  <si>
    <t>[1] -[2]</t>
  </si>
  <si>
    <t>([2.1.1]+[2.1.3.1] + [5.1]+[9.5]-[5.1.1] )/[1]</t>
  </si>
  <si>
    <t>[5.1] + [5.2]</t>
  </si>
  <si>
    <t>[9.6] - [9.7]</t>
  </si>
  <si>
    <t>[1.1] - [2.1]</t>
  </si>
  <si>
    <t>[6] / [1]</t>
  </si>
  <si>
    <t>([2.1.1] + [2.1.3.1] + [5.1] ) / [1]</t>
  </si>
  <si>
    <t>[11.3.1] + [11.3.2]</t>
  </si>
  <si>
    <t>[2.1] + [2.2]</t>
  </si>
  <si>
    <t>[1.1] + [4.1] + [4.2] - (  [2.1] - [2.1.2]  )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</si>
  <si>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</si>
  <si>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 [1.1] -  ( [2.1]  - [2.1.2] ) + [1.2.1] ) / [1]</t>
  </si>
  <si>
    <t>[9.6] - [9.7.1]</t>
  </si>
  <si>
    <t>WYK_N_3</t>
  </si>
  <si>
    <t>WYK_N_2</t>
  </si>
  <si>
    <t>PLN_N_1</t>
  </si>
  <si>
    <t>WYK_N_1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</si>
</sst>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#,##0.00"/>
    <numFmt numFmtId="171" formatCode="0.0%"/>
    <numFmt numFmtId="172" formatCode="0.00%"/>
    <numFmt numFmtId="173" formatCode="#,##0_ ;[RED]\-#,##0\ "/>
    <numFmt numFmtId="174" formatCode="GENERAL"/>
    <numFmt numFmtId="175" formatCode="0.00"/>
    <numFmt numFmtId="176" formatCode="D/MM/YYYY"/>
  </numFmts>
  <fonts count="6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597">
    <xf numFmtId="164" fontId="0" fillId="0" borderId="0" xfId="0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0" xfId="0" applyFont="1" applyBorder="1" applyAlignment="1" applyProtection="1">
      <alignment horizontal="left" vertical="center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6" fillId="0" borderId="10" xfId="0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6" fontId="39" fillId="20" borderId="11" xfId="99" applyNumberFormat="1" applyFont="1" applyFill="1" applyBorder="1" applyAlignment="1">
      <alignment horizontal="center" vertical="center"/>
      <protection/>
    </xf>
    <xf numFmtId="166" fontId="39" fillId="20" borderId="12" xfId="99" applyNumberFormat="1" applyFont="1" applyFill="1" applyBorder="1" applyAlignment="1">
      <alignment horizontal="center" vertical="center"/>
      <protection/>
    </xf>
    <xf numFmtId="166" fontId="39" fillId="20" borderId="11" xfId="99" applyNumberFormat="1" applyFont="1" applyFill="1" applyBorder="1" applyAlignment="1">
      <alignment horizontal="center" vertical="center" wrapText="1"/>
      <protection/>
    </xf>
    <xf numFmtId="166" fontId="39" fillId="20" borderId="13" xfId="99" applyNumberFormat="1" applyFont="1" applyFill="1" applyBorder="1" applyAlignment="1">
      <alignment horizontal="center" vertical="center" wrapText="1"/>
      <protection/>
    </xf>
    <xf numFmtId="166" fontId="39" fillId="20" borderId="14" xfId="99" applyNumberFormat="1" applyFont="1" applyFill="1" applyBorder="1" applyAlignment="1">
      <alignment horizontal="center" vertical="center" wrapText="1"/>
      <protection/>
    </xf>
    <xf numFmtId="167" fontId="39" fillId="20" borderId="15" xfId="99" applyNumberFormat="1" applyFont="1" applyFill="1" applyBorder="1" applyAlignment="1">
      <alignment horizontal="center" vertical="center"/>
      <protection/>
    </xf>
    <xf numFmtId="167" fontId="39" fillId="20" borderId="13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0" fillId="0" borderId="16" xfId="0" applyFont="1" applyBorder="1" applyAlignment="1">
      <alignment horizontal="left" vertical="center"/>
    </xf>
    <xf numFmtId="164" fontId="41" fillId="0" borderId="17" xfId="0" applyFont="1" applyBorder="1" applyAlignment="1">
      <alignment horizontal="left" vertical="center" wrapText="1"/>
    </xf>
    <xf numFmtId="168" fontId="40" fillId="20" borderId="16" xfId="99" applyNumberFormat="1" applyFont="1" applyFill="1" applyBorder="1" applyAlignment="1">
      <alignment vertical="center" shrinkToFit="1"/>
      <protection/>
    </xf>
    <xf numFmtId="168" fontId="40" fillId="20" borderId="18" xfId="99" applyNumberFormat="1" applyFont="1" applyFill="1" applyBorder="1" applyAlignment="1">
      <alignment vertical="center" shrinkToFit="1"/>
      <protection/>
    </xf>
    <xf numFmtId="168" fontId="40" fillId="20" borderId="19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8" fontId="40" fillId="0" borderId="18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2" fillId="0" borderId="16" xfId="0" applyFont="1" applyBorder="1" applyAlignment="1">
      <alignment horizontal="left" vertical="center"/>
    </xf>
    <xf numFmtId="164" fontId="43" fillId="0" borderId="17" xfId="0" applyFont="1" applyBorder="1" applyAlignment="1">
      <alignment horizontal="right" vertical="center"/>
    </xf>
    <xf numFmtId="164" fontId="43" fillId="0" borderId="21" xfId="0" applyFont="1" applyBorder="1" applyAlignment="1">
      <alignment horizontal="left" vertical="center" wrapText="1"/>
    </xf>
    <xf numFmtId="168" fontId="42" fillId="20" borderId="16" xfId="99" applyNumberFormat="1" applyFont="1" applyFill="1" applyBorder="1" applyAlignment="1">
      <alignment vertical="center" shrinkToFit="1"/>
      <protection/>
    </xf>
    <xf numFmtId="168" fontId="42" fillId="20" borderId="18" xfId="99" applyNumberFormat="1" applyFont="1" applyFill="1" applyBorder="1" applyAlignment="1">
      <alignment vertical="center" shrinkToFit="1"/>
      <protection/>
    </xf>
    <xf numFmtId="168" fontId="42" fillId="20" borderId="19" xfId="99" applyNumberFormat="1" applyFont="1" applyFill="1" applyBorder="1" applyAlignment="1">
      <alignment vertical="center" shrinkToFit="1"/>
      <protection/>
    </xf>
    <xf numFmtId="168" fontId="42" fillId="0" borderId="20" xfId="99" applyNumberFormat="1" applyFont="1" applyFill="1" applyBorder="1" applyAlignment="1">
      <alignment vertical="center" shrinkToFit="1"/>
      <protection/>
    </xf>
    <xf numFmtId="168" fontId="42" fillId="0" borderId="18" xfId="99" applyNumberFormat="1" applyFont="1" applyFill="1" applyBorder="1" applyAlignment="1">
      <alignment vertical="center" shrinkToFit="1"/>
      <protection/>
    </xf>
    <xf numFmtId="164" fontId="43" fillId="0" borderId="21" xfId="0" applyFont="1" applyBorder="1" applyAlignment="1">
      <alignment horizontal="right" vertical="center"/>
    </xf>
    <xf numFmtId="164" fontId="43" fillId="0" borderId="19" xfId="0" applyFont="1" applyBorder="1" applyAlignment="1">
      <alignment horizontal="left" vertical="center" wrapText="1"/>
    </xf>
    <xf numFmtId="168" fontId="42" fillId="20" borderId="16" xfId="99" applyNumberFormat="1" applyFont="1" applyFill="1" applyBorder="1" applyAlignment="1">
      <alignment horizontal="center" vertical="center" shrinkToFit="1"/>
      <protection/>
    </xf>
    <xf numFmtId="168" fontId="42" fillId="20" borderId="18" xfId="99" applyNumberFormat="1" applyFont="1" applyFill="1" applyBorder="1" applyAlignment="1">
      <alignment horizontal="center" vertical="center" shrinkToFit="1"/>
      <protection/>
    </xf>
    <xf numFmtId="168" fontId="42" fillId="20" borderId="19" xfId="99" applyNumberFormat="1" applyFont="1" applyFill="1" applyBorder="1" applyAlignment="1">
      <alignment horizontal="center" vertical="center" shrinkToFit="1"/>
      <protection/>
    </xf>
    <xf numFmtId="164" fontId="43" fillId="0" borderId="19" xfId="0" applyFont="1" applyBorder="1" applyAlignment="1">
      <alignment vertical="center" wrapText="1"/>
    </xf>
    <xf numFmtId="169" fontId="42" fillId="20" borderId="16" xfId="99" applyNumberFormat="1" applyFont="1" applyFill="1" applyBorder="1" applyAlignment="1">
      <alignment vertical="center" shrinkToFit="1"/>
      <protection/>
    </xf>
    <xf numFmtId="169" fontId="42" fillId="20" borderId="18" xfId="99" applyNumberFormat="1" applyFont="1" applyFill="1" applyBorder="1" applyAlignment="1">
      <alignment vertical="center" shrinkToFit="1"/>
      <protection/>
    </xf>
    <xf numFmtId="169" fontId="42" fillId="20" borderId="19" xfId="99" applyNumberFormat="1" applyFont="1" applyFill="1" applyBorder="1" applyAlignment="1">
      <alignment vertical="center" shrinkToFit="1"/>
      <protection/>
    </xf>
    <xf numFmtId="169" fontId="42" fillId="0" borderId="20" xfId="99" applyNumberFormat="1" applyFont="1" applyFill="1" applyBorder="1" applyAlignment="1">
      <alignment vertical="center" shrinkToFit="1"/>
      <protection/>
    </xf>
    <xf numFmtId="169" fontId="42" fillId="0" borderId="18" xfId="99" applyNumberFormat="1" applyFont="1" applyFill="1" applyBorder="1" applyAlignment="1">
      <alignment vertical="center" shrinkToFit="1"/>
      <protection/>
    </xf>
    <xf numFmtId="168" fontId="40" fillId="20" borderId="16" xfId="99" applyNumberFormat="1" applyFont="1" applyFill="1" applyBorder="1" applyAlignment="1">
      <alignment horizontal="center" vertical="center" shrinkToFit="1"/>
      <protection/>
    </xf>
    <xf numFmtId="168" fontId="40" fillId="20" borderId="18" xfId="99" applyNumberFormat="1" applyFont="1" applyFill="1" applyBorder="1" applyAlignment="1">
      <alignment horizontal="center" vertical="center" shrinkToFit="1"/>
      <protection/>
    </xf>
    <xf numFmtId="168" fontId="40" fillId="20" borderId="19" xfId="99" applyNumberFormat="1" applyFont="1" applyFill="1" applyBorder="1" applyAlignment="1">
      <alignment horizontal="center" vertical="center" shrinkToFit="1"/>
      <protection/>
    </xf>
    <xf numFmtId="168" fontId="40" fillId="0" borderId="20" xfId="99" applyNumberFormat="1" applyFont="1" applyFill="1" applyBorder="1" applyAlignment="1">
      <alignment horizontal="center" vertical="center" shrinkToFit="1"/>
      <protection/>
    </xf>
    <xf numFmtId="168" fontId="40" fillId="0" borderId="18" xfId="99" applyNumberFormat="1" applyFont="1" applyFill="1" applyBorder="1" applyAlignment="1">
      <alignment horizontal="center" vertical="center" shrinkToFit="1"/>
      <protection/>
    </xf>
    <xf numFmtId="164" fontId="42" fillId="0" borderId="16" xfId="0" applyFont="1" applyBorder="1" applyAlignment="1" applyProtection="1">
      <alignment horizontal="left" vertical="center"/>
      <protection locked="0"/>
    </xf>
    <xf numFmtId="164" fontId="43" fillId="0" borderId="21" xfId="0" applyFont="1" applyBorder="1" applyAlignment="1" applyProtection="1">
      <alignment horizontal="left" vertical="center" wrapText="1"/>
      <protection locked="0"/>
    </xf>
    <xf numFmtId="164" fontId="43" fillId="0" borderId="17" xfId="0" applyFont="1" applyBorder="1" applyAlignment="1" applyProtection="1">
      <alignment horizontal="right" vertical="center"/>
      <protection locked="0"/>
    </xf>
    <xf numFmtId="164" fontId="41" fillId="0" borderId="21" xfId="0" applyFont="1" applyBorder="1" applyAlignment="1" applyProtection="1">
      <alignment horizontal="left" vertical="center"/>
      <protection locked="0"/>
    </xf>
    <xf numFmtId="164" fontId="43" fillId="0" borderId="21" xfId="0" applyFont="1" applyBorder="1" applyAlignment="1" applyProtection="1">
      <alignment horizontal="left" vertical="center"/>
      <protection locked="0"/>
    </xf>
    <xf numFmtId="164" fontId="42" fillId="0" borderId="20" xfId="99" applyNumberFormat="1" applyFont="1" applyFill="1" applyBorder="1" applyAlignment="1">
      <alignment horizontal="center" vertical="center" shrinkToFit="1"/>
      <protection/>
    </xf>
    <xf numFmtId="164" fontId="42" fillId="0" borderId="18" xfId="99" applyNumberFormat="1" applyFont="1" applyFill="1" applyBorder="1" applyAlignment="1">
      <alignment horizontal="center" vertical="center" shrinkToFit="1"/>
      <protection/>
    </xf>
    <xf numFmtId="164" fontId="43" fillId="0" borderId="22" xfId="0" applyFont="1" applyBorder="1" applyAlignment="1">
      <alignment horizontal="left" vertical="center" wrapText="1"/>
    </xf>
    <xf numFmtId="164" fontId="43" fillId="0" borderId="22" xfId="0" applyFont="1" applyBorder="1" applyAlignment="1">
      <alignment vertical="center" wrapText="1"/>
    </xf>
    <xf numFmtId="164" fontId="42" fillId="0" borderId="23" xfId="0" applyFont="1" applyBorder="1" applyAlignment="1">
      <alignment horizontal="left" vertical="center"/>
    </xf>
    <xf numFmtId="164" fontId="43" fillId="0" borderId="24" xfId="0" applyFont="1" applyBorder="1" applyAlignment="1">
      <alignment horizontal="right" vertical="center"/>
    </xf>
    <xf numFmtId="164" fontId="43" fillId="0" borderId="25" xfId="0" applyFont="1" applyBorder="1" applyAlignment="1">
      <alignment horizontal="left" vertical="center" wrapText="1"/>
    </xf>
    <xf numFmtId="168" fontId="42" fillId="20" borderId="23" xfId="99" applyNumberFormat="1" applyFont="1" applyFill="1" applyBorder="1" applyAlignment="1">
      <alignment vertical="center" shrinkToFit="1"/>
      <protection/>
    </xf>
    <xf numFmtId="168" fontId="42" fillId="20" borderId="26" xfId="99" applyNumberFormat="1" applyFont="1" applyFill="1" applyBorder="1" applyAlignment="1">
      <alignment vertical="center" shrinkToFit="1"/>
      <protection/>
    </xf>
    <xf numFmtId="168" fontId="42" fillId="20" borderId="27" xfId="99" applyNumberFormat="1" applyFont="1" applyFill="1" applyBorder="1" applyAlignment="1">
      <alignment vertical="center" shrinkToFit="1"/>
      <protection/>
    </xf>
    <xf numFmtId="168" fontId="42" fillId="0" borderId="28" xfId="99" applyNumberFormat="1" applyFont="1" applyFill="1" applyBorder="1" applyAlignment="1">
      <alignment vertical="center" shrinkToFit="1"/>
      <protection/>
    </xf>
    <xf numFmtId="168" fontId="42" fillId="0" borderId="26" xfId="99" applyNumberFormat="1" applyFont="1" applyFill="1" applyBorder="1" applyAlignment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4" fillId="0" borderId="29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5" fillId="0" borderId="0" xfId="0" applyFont="1" applyAlignment="1" applyProtection="1">
      <alignment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horizontal="center" vertical="center" wrapText="1"/>
      <protection locked="0"/>
    </xf>
    <xf numFmtId="164" fontId="45" fillId="0" borderId="0" xfId="0" applyFont="1" applyBorder="1" applyAlignment="1" applyProtection="1">
      <alignment vertical="center"/>
      <protection locked="0"/>
    </xf>
    <xf numFmtId="164" fontId="46" fillId="0" borderId="0" xfId="0" applyFont="1" applyBorder="1" applyAlignment="1" applyProtection="1">
      <alignment vertical="center" wrapText="1"/>
      <protection locked="0"/>
    </xf>
    <xf numFmtId="164" fontId="46" fillId="0" borderId="0" xfId="0" applyFont="1" applyBorder="1" applyAlignment="1" applyProtection="1">
      <alignment vertical="center"/>
      <protection locked="0"/>
    </xf>
    <xf numFmtId="164" fontId="47" fillId="0" borderId="0" xfId="0" applyFont="1" applyBorder="1" applyAlignment="1" applyProtection="1">
      <alignment horizontal="left" vertical="center"/>
      <protection locked="0"/>
    </xf>
    <xf numFmtId="164" fontId="46" fillId="0" borderId="0" xfId="0" applyFont="1" applyBorder="1" applyAlignment="1" applyProtection="1">
      <alignment horizontal="left" vertical="center" wrapText="1"/>
      <protection locked="0"/>
    </xf>
    <xf numFmtId="164" fontId="48" fillId="0" borderId="0" xfId="0" applyFont="1" applyFill="1" applyBorder="1" applyAlignment="1" applyProtection="1">
      <alignment horizontal="left" vertical="center"/>
      <protection locked="0"/>
    </xf>
    <xf numFmtId="164" fontId="48" fillId="19" borderId="0" xfId="0" applyFont="1" applyFill="1" applyBorder="1" applyAlignment="1" applyProtection="1">
      <alignment horizontal="left" vertical="center" wrapText="1"/>
      <protection locked="0"/>
    </xf>
    <xf numFmtId="164" fontId="48" fillId="11" borderId="0" xfId="0" applyFont="1" applyFill="1" applyBorder="1" applyAlignment="1" applyProtection="1">
      <alignment horizontal="left" vertical="center" wrapText="1"/>
      <protection locked="0"/>
    </xf>
    <xf numFmtId="164" fontId="48" fillId="24" borderId="0" xfId="0" applyFont="1" applyFill="1" applyBorder="1" applyAlignment="1" applyProtection="1">
      <alignment horizontal="left" vertical="center" wrapText="1"/>
      <protection locked="0"/>
    </xf>
    <xf numFmtId="164" fontId="48" fillId="0" borderId="10" xfId="0" applyFont="1" applyFill="1" applyBorder="1" applyAlignment="1" applyProtection="1">
      <alignment vertical="center"/>
      <protection locked="0"/>
    </xf>
    <xf numFmtId="164" fontId="49" fillId="0" borderId="10" xfId="0" applyFont="1" applyFill="1" applyBorder="1" applyAlignment="1" applyProtection="1">
      <alignment vertical="center"/>
      <protection locked="0"/>
    </xf>
    <xf numFmtId="164" fontId="50" fillId="0" borderId="11" xfId="102" applyFont="1" applyBorder="1" applyAlignment="1">
      <alignment horizontal="left" vertical="center"/>
      <protection/>
    </xf>
    <xf numFmtId="164" fontId="48" fillId="19" borderId="12" xfId="0" applyFont="1" applyFill="1" applyBorder="1" applyAlignment="1">
      <alignment horizontal="left" vertical="center" wrapText="1"/>
    </xf>
    <xf numFmtId="164" fontId="46" fillId="20" borderId="11" xfId="0" applyFont="1" applyFill="1" applyBorder="1" applyAlignment="1">
      <alignment vertical="center" wrapText="1"/>
    </xf>
    <xf numFmtId="164" fontId="46" fillId="20" borderId="13" xfId="0" applyFont="1" applyFill="1" applyBorder="1" applyAlignment="1">
      <alignment vertical="center" wrapText="1"/>
    </xf>
    <xf numFmtId="164" fontId="46" fillId="20" borderId="14" xfId="0" applyFont="1" applyFill="1" applyBorder="1" applyAlignment="1">
      <alignment vertical="center" wrapText="1"/>
    </xf>
    <xf numFmtId="164" fontId="35" fillId="0" borderId="15" xfId="0" applyFont="1" applyBorder="1" applyAlignment="1">
      <alignment horizontal="center" vertical="center"/>
    </xf>
    <xf numFmtId="164" fontId="35" fillId="0" borderId="13" xfId="0" applyFont="1" applyBorder="1" applyAlignment="1">
      <alignment horizontal="center" vertical="center"/>
    </xf>
    <xf numFmtId="164" fontId="50" fillId="0" borderId="16" xfId="102" applyFont="1" applyBorder="1" applyAlignment="1">
      <alignment horizontal="left" vertical="center"/>
      <protection/>
    </xf>
    <xf numFmtId="164" fontId="48" fillId="19" borderId="17" xfId="0" applyFont="1" applyFill="1" applyBorder="1" applyAlignment="1">
      <alignment horizontal="left" vertical="center" wrapText="1"/>
    </xf>
    <xf numFmtId="164" fontId="46" fillId="20" borderId="16" xfId="0" applyFont="1" applyFill="1" applyBorder="1" applyAlignment="1">
      <alignment vertical="center" wrapText="1"/>
    </xf>
    <xf numFmtId="164" fontId="46" fillId="20" borderId="18" xfId="0" applyFont="1" applyFill="1" applyBorder="1" applyAlignment="1">
      <alignment vertical="center" wrapText="1"/>
    </xf>
    <xf numFmtId="164" fontId="46" fillId="20" borderId="19" xfId="0" applyFont="1" applyFill="1" applyBorder="1" applyAlignment="1">
      <alignment vertical="center" wrapText="1"/>
    </xf>
    <xf numFmtId="164" fontId="35" fillId="0" borderId="20" xfId="0" applyFont="1" applyBorder="1" applyAlignment="1">
      <alignment horizontal="center" vertical="center"/>
    </xf>
    <xf numFmtId="164" fontId="35" fillId="0" borderId="18" xfId="0" applyFont="1" applyBorder="1" applyAlignment="1">
      <alignment horizontal="center" vertical="center"/>
    </xf>
    <xf numFmtId="164" fontId="48" fillId="11" borderId="17" xfId="0" applyFont="1" applyFill="1" applyBorder="1" applyAlignment="1">
      <alignment horizontal="left" vertical="center" wrapText="1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18" xfId="0" applyNumberFormat="1" applyFont="1" applyFill="1" applyBorder="1" applyAlignment="1">
      <alignment horizontal="center" vertical="center"/>
    </xf>
    <xf numFmtId="164" fontId="46" fillId="20" borderId="16" xfId="0" applyFont="1" applyFill="1" applyBorder="1" applyAlignment="1">
      <alignment vertical="center"/>
    </xf>
    <xf numFmtId="164" fontId="48" fillId="24" borderId="17" xfId="0" applyFont="1" applyFill="1" applyBorder="1" applyAlignment="1">
      <alignment horizontal="left" vertical="center" wrapText="1"/>
    </xf>
    <xf numFmtId="164" fontId="35" fillId="0" borderId="20" xfId="0" applyNumberFormat="1" applyFont="1" applyFill="1" applyBorder="1" applyAlignment="1">
      <alignment horizontal="center" vertical="center"/>
    </xf>
    <xf numFmtId="164" fontId="35" fillId="0" borderId="18" xfId="0" applyNumberFormat="1" applyFont="1" applyFill="1" applyBorder="1" applyAlignment="1">
      <alignment horizontal="center" vertical="center"/>
    </xf>
    <xf numFmtId="164" fontId="50" fillId="0" borderId="23" xfId="102" applyFont="1" applyBorder="1" applyAlignment="1">
      <alignment horizontal="left" vertical="center"/>
      <protection/>
    </xf>
    <xf numFmtId="164" fontId="48" fillId="24" borderId="24" xfId="0" applyFont="1" applyFill="1" applyBorder="1" applyAlignment="1">
      <alignment horizontal="left" vertical="center" wrapText="1"/>
    </xf>
    <xf numFmtId="164" fontId="46" fillId="20" borderId="23" xfId="0" applyFont="1" applyFill="1" applyBorder="1" applyAlignment="1">
      <alignment vertical="center" wrapText="1"/>
    </xf>
    <xf numFmtId="164" fontId="46" fillId="20" borderId="26" xfId="0" applyFont="1" applyFill="1" applyBorder="1" applyAlignment="1">
      <alignment vertical="center" wrapText="1"/>
    </xf>
    <xf numFmtId="164" fontId="46" fillId="20" borderId="27" xfId="0" applyFont="1" applyFill="1" applyBorder="1" applyAlignment="1">
      <alignment vertical="center" wrapText="1"/>
    </xf>
    <xf numFmtId="164" fontId="35" fillId="0" borderId="28" xfId="0" applyFont="1" applyBorder="1" applyAlignment="1">
      <alignment horizontal="center" vertical="center"/>
    </xf>
    <xf numFmtId="164" fontId="35" fillId="0" borderId="26" xfId="0" applyFont="1" applyBorder="1" applyAlignment="1">
      <alignment horizontal="center" vertical="center"/>
    </xf>
    <xf numFmtId="164" fontId="46" fillId="0" borderId="0" xfId="0" applyFont="1" applyBorder="1" applyAlignment="1">
      <alignment horizontal="center" vertical="center"/>
    </xf>
    <xf numFmtId="164" fontId="46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1" fillId="0" borderId="0" xfId="0" applyFont="1" applyAlignment="1">
      <alignment/>
    </xf>
    <xf numFmtId="164" fontId="42" fillId="6" borderId="30" xfId="0" applyFont="1" applyFill="1" applyBorder="1" applyAlignment="1">
      <alignment vertical="center"/>
    </xf>
    <xf numFmtId="170" fontId="42" fillId="20" borderId="11" xfId="0" applyNumberFormat="1" applyFont="1" applyFill="1" applyBorder="1" applyAlignment="1">
      <alignment vertical="center"/>
    </xf>
    <xf numFmtId="170" fontId="42" fillId="20" borderId="13" xfId="0" applyNumberFormat="1" applyFont="1" applyFill="1" applyBorder="1" applyAlignment="1">
      <alignment vertical="center"/>
    </xf>
    <xf numFmtId="170" fontId="42" fillId="20" borderId="14" xfId="0" applyNumberFormat="1" applyFont="1" applyFill="1" applyBorder="1" applyAlignment="1">
      <alignment vertical="center"/>
    </xf>
    <xf numFmtId="170" fontId="42" fillId="0" borderId="15" xfId="0" applyNumberFormat="1" applyFont="1" applyBorder="1" applyAlignment="1">
      <alignment vertical="center"/>
    </xf>
    <xf numFmtId="170" fontId="42" fillId="0" borderId="13" xfId="0" applyNumberFormat="1" applyFont="1" applyBorder="1" applyAlignment="1">
      <alignment vertical="center"/>
    </xf>
    <xf numFmtId="164" fontId="42" fillId="6" borderId="31" xfId="0" applyFont="1" applyFill="1" applyBorder="1" applyAlignment="1">
      <alignment vertical="center"/>
    </xf>
    <xf numFmtId="170" fontId="42" fillId="20" borderId="16" xfId="0" applyNumberFormat="1" applyFont="1" applyFill="1" applyBorder="1" applyAlignment="1">
      <alignment vertical="center"/>
    </xf>
    <xf numFmtId="170" fontId="42" fillId="20" borderId="18" xfId="0" applyNumberFormat="1" applyFont="1" applyFill="1" applyBorder="1" applyAlignment="1">
      <alignment vertical="center"/>
    </xf>
    <xf numFmtId="170" fontId="42" fillId="20" borderId="19" xfId="0" applyNumberFormat="1" applyFont="1" applyFill="1" applyBorder="1" applyAlignment="1">
      <alignment vertical="center"/>
    </xf>
    <xf numFmtId="170" fontId="42" fillId="0" borderId="20" xfId="0" applyNumberFormat="1" applyFont="1" applyBorder="1" applyAlignment="1">
      <alignment vertical="center"/>
    </xf>
    <xf numFmtId="170" fontId="42" fillId="0" borderId="18" xfId="0" applyNumberFormat="1" applyFont="1" applyBorder="1" applyAlignment="1">
      <alignment vertical="center"/>
    </xf>
    <xf numFmtId="164" fontId="52" fillId="6" borderId="31" xfId="0" applyFont="1" applyFill="1" applyBorder="1" applyAlignment="1">
      <alignment horizontal="left" vertical="center" wrapText="1"/>
    </xf>
    <xf numFmtId="164" fontId="52" fillId="6" borderId="32" xfId="0" applyFont="1" applyFill="1" applyBorder="1" applyAlignment="1">
      <alignment horizontal="left" vertical="center" wrapText="1"/>
    </xf>
    <xf numFmtId="170" fontId="42" fillId="20" borderId="23" xfId="0" applyNumberFormat="1" applyFont="1" applyFill="1" applyBorder="1" applyAlignment="1">
      <alignment horizontal="center" vertical="center"/>
    </xf>
    <xf numFmtId="170" fontId="42" fillId="20" borderId="26" xfId="0" applyNumberFormat="1" applyFont="1" applyFill="1" applyBorder="1" applyAlignment="1">
      <alignment vertical="center"/>
    </xf>
    <xf numFmtId="170" fontId="42" fillId="20" borderId="27" xfId="0" applyNumberFormat="1" applyFont="1" applyFill="1" applyBorder="1" applyAlignment="1">
      <alignment vertical="center"/>
    </xf>
    <xf numFmtId="170" fontId="42" fillId="0" borderId="28" xfId="0" applyNumberFormat="1" applyFont="1" applyBorder="1" applyAlignment="1">
      <alignment vertical="center"/>
    </xf>
    <xf numFmtId="170" fontId="42" fillId="0" borderId="26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9" fillId="0" borderId="0" xfId="0" applyFont="1" applyAlignment="1">
      <alignment/>
    </xf>
    <xf numFmtId="164" fontId="53" fillId="0" borderId="0" xfId="0" applyFont="1" applyFill="1" applyAlignment="1">
      <alignment/>
    </xf>
    <xf numFmtId="171" fontId="36" fillId="17" borderId="0" xfId="19" applyNumberFormat="1" applyFont="1" applyFill="1" applyBorder="1" applyAlignment="1" applyProtection="1">
      <alignment vertical="center"/>
      <protection/>
    </xf>
    <xf numFmtId="164" fontId="54" fillId="0" borderId="0" xfId="0" applyFont="1" applyAlignment="1">
      <alignment vertical="center"/>
    </xf>
    <xf numFmtId="171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1" fontId="36" fillId="11" borderId="0" xfId="19" applyNumberFormat="1" applyFont="1" applyFill="1" applyBorder="1" applyAlignment="1" applyProtection="1">
      <alignment vertical="center"/>
      <protection/>
    </xf>
    <xf numFmtId="171" fontId="36" fillId="24" borderId="0" xfId="19" applyNumberFormat="1" applyFont="1" applyFill="1" applyBorder="1" applyAlignment="1" applyProtection="1">
      <alignment vertical="center"/>
      <protection/>
    </xf>
    <xf numFmtId="164" fontId="42" fillId="0" borderId="33" xfId="0" applyFont="1" applyBorder="1" applyAlignment="1">
      <alignment/>
    </xf>
    <xf numFmtId="172" fontId="42" fillId="20" borderId="11" xfId="0" applyNumberFormat="1" applyFont="1" applyFill="1" applyBorder="1" applyAlignment="1">
      <alignment horizontal="right"/>
    </xf>
    <xf numFmtId="172" fontId="42" fillId="20" borderId="13" xfId="0" applyNumberFormat="1" applyFont="1" applyFill="1" applyBorder="1" applyAlignment="1">
      <alignment horizontal="right"/>
    </xf>
    <xf numFmtId="172" fontId="42" fillId="20" borderId="14" xfId="0" applyNumberFormat="1" applyFont="1" applyFill="1" applyBorder="1" applyAlignment="1">
      <alignment horizontal="right"/>
    </xf>
    <xf numFmtId="172" fontId="42" fillId="0" borderId="15" xfId="0" applyNumberFormat="1" applyFont="1" applyFill="1" applyBorder="1" applyAlignment="1">
      <alignment vertical="center"/>
    </xf>
    <xf numFmtId="172" fontId="42" fillId="0" borderId="13" xfId="0" applyNumberFormat="1" applyFont="1" applyFill="1" applyBorder="1" applyAlignment="1">
      <alignment vertical="center"/>
    </xf>
    <xf numFmtId="164" fontId="42" fillId="0" borderId="34" xfId="0" applyFont="1" applyBorder="1" applyAlignment="1">
      <alignment/>
    </xf>
    <xf numFmtId="172" fontId="42" fillId="20" borderId="23" xfId="0" applyNumberFormat="1" applyFont="1" applyFill="1" applyBorder="1" applyAlignment="1">
      <alignment horizontal="right"/>
    </xf>
    <xf numFmtId="172" fontId="42" fillId="20" borderId="26" xfId="0" applyNumberFormat="1" applyFont="1" applyFill="1" applyBorder="1" applyAlignment="1">
      <alignment horizontal="right"/>
    </xf>
    <xf numFmtId="172" fontId="42" fillId="20" borderId="27" xfId="0" applyNumberFormat="1" applyFont="1" applyFill="1" applyBorder="1" applyAlignment="1">
      <alignment horizontal="right"/>
    </xf>
    <xf numFmtId="172" fontId="42" fillId="0" borderId="28" xfId="0" applyNumberFormat="1" applyFont="1" applyFill="1" applyBorder="1" applyAlignment="1">
      <alignment vertical="center"/>
    </xf>
    <xf numFmtId="172" fontId="42" fillId="0" borderId="26" xfId="0" applyNumberFormat="1" applyFont="1" applyFill="1" applyBorder="1" applyAlignment="1">
      <alignment vertical="center"/>
    </xf>
    <xf numFmtId="171" fontId="35" fillId="24" borderId="0" xfId="106" applyNumberFormat="1" applyFont="1" applyFill="1" applyBorder="1" applyAlignment="1" applyProtection="1">
      <alignment vertical="center"/>
      <protection/>
    </xf>
    <xf numFmtId="171" fontId="35" fillId="0" borderId="0" xfId="106" applyNumberFormat="1" applyFont="1" applyFill="1" applyBorder="1" applyAlignment="1" applyProtection="1">
      <alignment vertical="center"/>
      <protection/>
    </xf>
    <xf numFmtId="171" fontId="35" fillId="11" borderId="0" xfId="106" applyNumberFormat="1" applyFont="1" applyFill="1" applyBorder="1" applyAlignment="1" applyProtection="1">
      <alignment vertical="center"/>
      <protection/>
    </xf>
    <xf numFmtId="171" fontId="35" fillId="17" borderId="0" xfId="106" applyNumberFormat="1" applyFont="1" applyFill="1" applyBorder="1" applyAlignment="1" applyProtection="1">
      <alignment vertical="center"/>
      <protection/>
    </xf>
    <xf numFmtId="164" fontId="40" fillId="0" borderId="0" xfId="0" applyFont="1" applyAlignment="1">
      <alignment/>
    </xf>
    <xf numFmtId="164" fontId="40" fillId="0" borderId="33" xfId="0" applyFont="1" applyBorder="1" applyAlignment="1">
      <alignment vertical="center"/>
    </xf>
    <xf numFmtId="171" fontId="40" fillId="20" borderId="11" xfId="0" applyNumberFormat="1" applyFont="1" applyFill="1" applyBorder="1" applyAlignment="1">
      <alignment horizontal="right" vertical="center"/>
    </xf>
    <xf numFmtId="171" fontId="40" fillId="20" borderId="13" xfId="0" applyNumberFormat="1" applyFont="1" applyFill="1" applyBorder="1" applyAlignment="1">
      <alignment horizontal="right" vertical="center"/>
    </xf>
    <xf numFmtId="171" fontId="40" fillId="20" borderId="14" xfId="0" applyNumberFormat="1" applyFont="1" applyFill="1" applyBorder="1" applyAlignment="1">
      <alignment horizontal="right" vertical="center"/>
    </xf>
    <xf numFmtId="171" fontId="40" fillId="0" borderId="15" xfId="19" applyNumberFormat="1" applyFont="1" applyFill="1" applyBorder="1" applyAlignment="1" applyProtection="1">
      <alignment horizontal="right" vertical="center"/>
      <protection/>
    </xf>
    <xf numFmtId="171" fontId="40" fillId="0" borderId="13" xfId="19" applyNumberFormat="1" applyFont="1" applyFill="1" applyBorder="1" applyAlignment="1" applyProtection="1">
      <alignment horizontal="right" vertical="center"/>
      <protection/>
    </xf>
    <xf numFmtId="164" fontId="42" fillId="0" borderId="0" xfId="0" applyFont="1" applyAlignment="1">
      <alignment/>
    </xf>
    <xf numFmtId="164" fontId="42" fillId="0" borderId="35" xfId="0" applyFont="1" applyBorder="1" applyAlignment="1">
      <alignment horizontal="left" vertical="center" indent="1"/>
    </xf>
    <xf numFmtId="171" fontId="42" fillId="20" borderId="16" xfId="0" applyNumberFormat="1" applyFont="1" applyFill="1" applyBorder="1" applyAlignment="1">
      <alignment horizontal="right" vertical="center"/>
    </xf>
    <xf numFmtId="171" fontId="42" fillId="20" borderId="18" xfId="0" applyNumberFormat="1" applyFont="1" applyFill="1" applyBorder="1" applyAlignment="1">
      <alignment horizontal="right" vertical="center"/>
    </xf>
    <xf numFmtId="171" fontId="42" fillId="20" borderId="19" xfId="0" applyNumberFormat="1" applyFont="1" applyFill="1" applyBorder="1" applyAlignment="1">
      <alignment horizontal="right" vertical="center"/>
    </xf>
    <xf numFmtId="171" fontId="42" fillId="0" borderId="20" xfId="19" applyNumberFormat="1" applyFont="1" applyFill="1" applyBorder="1" applyAlignment="1" applyProtection="1">
      <alignment horizontal="right" vertical="center"/>
      <protection/>
    </xf>
    <xf numFmtId="171" fontId="42" fillId="0" borderId="18" xfId="19" applyNumberFormat="1" applyFont="1" applyFill="1" applyBorder="1" applyAlignment="1" applyProtection="1">
      <alignment horizontal="right" vertical="center"/>
      <protection/>
    </xf>
    <xf numFmtId="164" fontId="42" fillId="0" borderId="35" xfId="0" applyFont="1" applyBorder="1" applyAlignment="1">
      <alignment horizontal="left" vertical="center" wrapText="1" indent="2"/>
    </xf>
    <xf numFmtId="171" fontId="42" fillId="20" borderId="16" xfId="0" applyNumberFormat="1" applyFont="1" applyFill="1" applyBorder="1" applyAlignment="1">
      <alignment horizontal="right" vertical="center" wrapText="1"/>
    </xf>
    <xf numFmtId="171" fontId="42" fillId="20" borderId="18" xfId="0" applyNumberFormat="1" applyFont="1" applyFill="1" applyBorder="1" applyAlignment="1">
      <alignment horizontal="right" vertical="center" wrapText="1"/>
    </xf>
    <xf numFmtId="171" fontId="42" fillId="20" borderId="19" xfId="0" applyNumberFormat="1" applyFont="1" applyFill="1" applyBorder="1" applyAlignment="1">
      <alignment horizontal="right" vertical="center" wrapText="1"/>
    </xf>
    <xf numFmtId="164" fontId="42" fillId="0" borderId="34" xfId="0" applyFont="1" applyBorder="1" applyAlignment="1">
      <alignment horizontal="left" vertical="center" wrapText="1" indent="2"/>
    </xf>
    <xf numFmtId="171" fontId="42" fillId="20" borderId="36" xfId="0" applyNumberFormat="1" applyFont="1" applyFill="1" applyBorder="1" applyAlignment="1">
      <alignment horizontal="right" vertical="center" wrapText="1"/>
    </xf>
    <xf numFmtId="171" fontId="42" fillId="20" borderId="37" xfId="0" applyNumberFormat="1" applyFont="1" applyFill="1" applyBorder="1" applyAlignment="1">
      <alignment horizontal="right" vertical="center" wrapText="1"/>
    </xf>
    <xf numFmtId="171" fontId="42" fillId="20" borderId="38" xfId="0" applyNumberFormat="1" applyFont="1" applyFill="1" applyBorder="1" applyAlignment="1">
      <alignment horizontal="right" vertical="center" wrapText="1"/>
    </xf>
    <xf numFmtId="171" fontId="42" fillId="0" borderId="39" xfId="19" applyNumberFormat="1" applyFont="1" applyFill="1" applyBorder="1" applyAlignment="1" applyProtection="1">
      <alignment horizontal="right" vertical="center"/>
      <protection/>
    </xf>
    <xf numFmtId="171" fontId="42" fillId="0" borderId="37" xfId="19" applyNumberFormat="1" applyFont="1" applyFill="1" applyBorder="1" applyAlignment="1" applyProtection="1">
      <alignment horizontal="right" vertical="center"/>
      <protection/>
    </xf>
    <xf numFmtId="164" fontId="42" fillId="0" borderId="35" xfId="0" applyFont="1" applyBorder="1" applyAlignment="1">
      <alignment horizontal="left" vertical="center" wrapText="1" indent="1"/>
    </xf>
    <xf numFmtId="164" fontId="40" fillId="0" borderId="35" xfId="0" applyFont="1" applyBorder="1" applyAlignment="1">
      <alignment horizontal="left" vertical="center" indent="1"/>
    </xf>
    <xf numFmtId="171" fontId="40" fillId="20" borderId="16" xfId="0" applyNumberFormat="1" applyFont="1" applyFill="1" applyBorder="1" applyAlignment="1">
      <alignment horizontal="right" vertical="center"/>
    </xf>
    <xf numFmtId="171" fontId="40" fillId="20" borderId="18" xfId="0" applyNumberFormat="1" applyFont="1" applyFill="1" applyBorder="1" applyAlignment="1">
      <alignment horizontal="right" vertical="center"/>
    </xf>
    <xf numFmtId="171" fontId="40" fillId="20" borderId="19" xfId="0" applyNumberFormat="1" applyFont="1" applyFill="1" applyBorder="1" applyAlignment="1">
      <alignment horizontal="right" vertical="center"/>
    </xf>
    <xf numFmtId="171" fontId="40" fillId="0" borderId="20" xfId="19" applyNumberFormat="1" applyFont="1" applyFill="1" applyBorder="1" applyAlignment="1" applyProtection="1">
      <alignment horizontal="right" vertical="center"/>
      <protection/>
    </xf>
    <xf numFmtId="171" fontId="40" fillId="0" borderId="18" xfId="19" applyNumberFormat="1" applyFont="1" applyFill="1" applyBorder="1" applyAlignment="1" applyProtection="1">
      <alignment horizontal="right" vertical="center"/>
      <protection/>
    </xf>
    <xf numFmtId="171" fontId="42" fillId="20" borderId="23" xfId="0" applyNumberFormat="1" applyFont="1" applyFill="1" applyBorder="1" applyAlignment="1">
      <alignment horizontal="right" vertical="center" wrapText="1"/>
    </xf>
    <xf numFmtId="171" fontId="42" fillId="20" borderId="26" xfId="0" applyNumberFormat="1" applyFont="1" applyFill="1" applyBorder="1" applyAlignment="1">
      <alignment horizontal="right" vertical="center" wrapText="1"/>
    </xf>
    <xf numFmtId="171" fontId="42" fillId="20" borderId="27" xfId="0" applyNumberFormat="1" applyFont="1" applyFill="1" applyBorder="1" applyAlignment="1">
      <alignment horizontal="right" vertical="center" wrapText="1"/>
    </xf>
    <xf numFmtId="171" fontId="42" fillId="0" borderId="28" xfId="19" applyNumberFormat="1" applyFont="1" applyFill="1" applyBorder="1" applyAlignment="1" applyProtection="1">
      <alignment horizontal="right" vertical="center"/>
      <protection/>
    </xf>
    <xf numFmtId="171" fontId="42" fillId="0" borderId="26" xfId="19" applyNumberFormat="1" applyFont="1" applyFill="1" applyBorder="1" applyAlignment="1" applyProtection="1">
      <alignment horizontal="right" vertical="center"/>
      <protection/>
    </xf>
    <xf numFmtId="164" fontId="37" fillId="0" borderId="0" xfId="0" applyFont="1" applyFill="1" applyAlignment="1">
      <alignment/>
    </xf>
    <xf numFmtId="164" fontId="42" fillId="0" borderId="0" xfId="0" applyFont="1" applyAlignment="1">
      <alignment vertical="center"/>
    </xf>
    <xf numFmtId="168" fontId="40" fillId="20" borderId="11" xfId="0" applyNumberFormat="1" applyFont="1" applyFill="1" applyBorder="1" applyAlignment="1">
      <alignment horizontal="right" vertical="center"/>
    </xf>
    <xf numFmtId="168" fontId="40" fillId="20" borderId="13" xfId="0" applyNumberFormat="1" applyFont="1" applyFill="1" applyBorder="1" applyAlignment="1">
      <alignment horizontal="right" vertical="center"/>
    </xf>
    <xf numFmtId="168" fontId="40" fillId="20" borderId="14" xfId="0" applyNumberFormat="1" applyFont="1" applyFill="1" applyBorder="1" applyAlignment="1">
      <alignment horizontal="right" vertical="center"/>
    </xf>
    <xf numFmtId="168" fontId="40" fillId="0" borderId="15" xfId="0" applyNumberFormat="1" applyFont="1" applyBorder="1" applyAlignment="1">
      <alignment vertical="center"/>
    </xf>
    <xf numFmtId="168" fontId="40" fillId="0" borderId="13" xfId="0" applyNumberFormat="1" applyFont="1" applyBorder="1" applyAlignment="1">
      <alignment vertical="center"/>
    </xf>
    <xf numFmtId="168" fontId="42" fillId="20" borderId="16" xfId="0" applyNumberFormat="1" applyFont="1" applyFill="1" applyBorder="1" applyAlignment="1">
      <alignment horizontal="right" vertical="center"/>
    </xf>
    <xf numFmtId="168" fontId="42" fillId="20" borderId="18" xfId="0" applyNumberFormat="1" applyFont="1" applyFill="1" applyBorder="1" applyAlignment="1">
      <alignment horizontal="right" vertical="center"/>
    </xf>
    <xf numFmtId="168" fontId="42" fillId="20" borderId="19" xfId="0" applyNumberFormat="1" applyFont="1" applyFill="1" applyBorder="1" applyAlignment="1">
      <alignment horizontal="right" vertical="center"/>
    </xf>
    <xf numFmtId="168" fontId="42" fillId="0" borderId="20" xfId="0" applyNumberFormat="1" applyFont="1" applyBorder="1" applyAlignment="1">
      <alignment vertical="center"/>
    </xf>
    <xf numFmtId="168" fontId="42" fillId="0" borderId="18" xfId="0" applyNumberFormat="1" applyFont="1" applyBorder="1" applyAlignment="1">
      <alignment vertical="center"/>
    </xf>
    <xf numFmtId="168" fontId="42" fillId="20" borderId="16" xfId="0" applyNumberFormat="1" applyFont="1" applyFill="1" applyBorder="1" applyAlignment="1">
      <alignment horizontal="right" vertical="center" wrapText="1"/>
    </xf>
    <xf numFmtId="168" fontId="42" fillId="20" borderId="18" xfId="0" applyNumberFormat="1" applyFont="1" applyFill="1" applyBorder="1" applyAlignment="1">
      <alignment horizontal="right" vertical="center" wrapText="1"/>
    </xf>
    <xf numFmtId="168" fontId="42" fillId="20" borderId="19" xfId="0" applyNumberFormat="1" applyFont="1" applyFill="1" applyBorder="1" applyAlignment="1">
      <alignment horizontal="right" vertical="center" wrapText="1"/>
    </xf>
    <xf numFmtId="168" fontId="42" fillId="20" borderId="23" xfId="0" applyNumberFormat="1" applyFont="1" applyFill="1" applyBorder="1" applyAlignment="1">
      <alignment horizontal="right" vertical="center" wrapText="1"/>
    </xf>
    <xf numFmtId="168" fontId="42" fillId="20" borderId="26" xfId="0" applyNumberFormat="1" applyFont="1" applyFill="1" applyBorder="1" applyAlignment="1">
      <alignment horizontal="right" vertical="center" wrapText="1"/>
    </xf>
    <xf numFmtId="168" fontId="42" fillId="20" borderId="27" xfId="0" applyNumberFormat="1" applyFont="1" applyFill="1" applyBorder="1" applyAlignment="1">
      <alignment horizontal="right" vertical="center" wrapText="1"/>
    </xf>
    <xf numFmtId="168" fontId="42" fillId="0" borderId="28" xfId="0" applyNumberFormat="1" applyFont="1" applyBorder="1" applyAlignment="1">
      <alignment vertical="center"/>
    </xf>
    <xf numFmtId="168" fontId="42" fillId="0" borderId="26" xfId="0" applyNumberFormat="1" applyFont="1" applyBorder="1" applyAlignment="1">
      <alignment vertical="center"/>
    </xf>
    <xf numFmtId="168" fontId="40" fillId="20" borderId="16" xfId="0" applyNumberFormat="1" applyFont="1" applyFill="1" applyBorder="1" applyAlignment="1">
      <alignment horizontal="right" vertical="center"/>
    </xf>
    <xf numFmtId="168" fontId="40" fillId="20" borderId="18" xfId="0" applyNumberFormat="1" applyFont="1" applyFill="1" applyBorder="1" applyAlignment="1">
      <alignment horizontal="right" vertical="center"/>
    </xf>
    <xf numFmtId="168" fontId="40" fillId="20" borderId="19" xfId="0" applyNumberFormat="1" applyFont="1" applyFill="1" applyBorder="1" applyAlignment="1">
      <alignment horizontal="right" vertical="center"/>
    </xf>
    <xf numFmtId="168" fontId="40" fillId="0" borderId="20" xfId="0" applyNumberFormat="1" applyFont="1" applyBorder="1" applyAlignment="1">
      <alignment vertical="center"/>
    </xf>
    <xf numFmtId="168" fontId="40" fillId="0" borderId="18" xfId="0" applyNumberFormat="1" applyFont="1" applyBorder="1" applyAlignment="1">
      <alignment vertical="center"/>
    </xf>
    <xf numFmtId="168" fontId="40" fillId="20" borderId="11" xfId="0" applyNumberFormat="1" applyFont="1" applyFill="1" applyBorder="1" applyAlignment="1">
      <alignment vertical="center"/>
    </xf>
    <xf numFmtId="168" fontId="40" fillId="20" borderId="13" xfId="0" applyNumberFormat="1" applyFont="1" applyFill="1" applyBorder="1" applyAlignment="1">
      <alignment vertical="center"/>
    </xf>
    <xf numFmtId="168" fontId="40" fillId="20" borderId="14" xfId="0" applyNumberFormat="1" applyFont="1" applyFill="1" applyBorder="1" applyAlignment="1">
      <alignment vertical="center"/>
    </xf>
    <xf numFmtId="168" fontId="42" fillId="20" borderId="16" xfId="0" applyNumberFormat="1" applyFont="1" applyFill="1" applyBorder="1" applyAlignment="1">
      <alignment vertical="center"/>
    </xf>
    <xf numFmtId="168" fontId="42" fillId="20" borderId="18" xfId="0" applyNumberFormat="1" applyFont="1" applyFill="1" applyBorder="1" applyAlignment="1">
      <alignment vertical="center"/>
    </xf>
    <xf numFmtId="168" fontId="42" fillId="20" borderId="19" xfId="0" applyNumberFormat="1" applyFont="1" applyFill="1" applyBorder="1" applyAlignment="1">
      <alignment vertical="center"/>
    </xf>
    <xf numFmtId="168" fontId="42" fillId="20" borderId="23" xfId="0" applyNumberFormat="1" applyFont="1" applyFill="1" applyBorder="1" applyAlignment="1">
      <alignment vertical="center"/>
    </xf>
    <xf numFmtId="168" fontId="42" fillId="20" borderId="26" xfId="0" applyNumberFormat="1" applyFont="1" applyFill="1" applyBorder="1" applyAlignment="1">
      <alignment vertical="center"/>
    </xf>
    <xf numFmtId="168" fontId="42" fillId="20" borderId="27" xfId="0" applyNumberFormat="1" applyFont="1" applyFill="1" applyBorder="1" applyAlignment="1">
      <alignment vertical="center"/>
    </xf>
    <xf numFmtId="168" fontId="40" fillId="20" borderId="16" xfId="0" applyNumberFormat="1" applyFont="1" applyFill="1" applyBorder="1" applyAlignment="1">
      <alignment vertical="center"/>
    </xf>
    <xf numFmtId="168" fontId="40" fillId="20" borderId="18" xfId="0" applyNumberFormat="1" applyFont="1" applyFill="1" applyBorder="1" applyAlignment="1">
      <alignment vertical="center"/>
    </xf>
    <xf numFmtId="168" fontId="40" fillId="20" borderId="19" xfId="0" applyNumberFormat="1" applyFont="1" applyFill="1" applyBorder="1" applyAlignment="1">
      <alignment vertical="center"/>
    </xf>
    <xf numFmtId="164" fontId="35" fillId="0" borderId="0" xfId="0" applyFont="1" applyAlignment="1">
      <alignment horizontal="left" indent="1"/>
    </xf>
    <xf numFmtId="164" fontId="35" fillId="0" borderId="0" xfId="0" applyFont="1" applyFill="1" applyAlignment="1">
      <alignment horizontal="left" indent="1"/>
    </xf>
    <xf numFmtId="168" fontId="35" fillId="0" borderId="0" xfId="0" applyNumberFormat="1" applyFont="1" applyAlignment="1">
      <alignment/>
    </xf>
    <xf numFmtId="164" fontId="36" fillId="0" borderId="0" xfId="0" applyFont="1" applyAlignment="1">
      <alignment/>
    </xf>
    <xf numFmtId="164" fontId="40" fillId="0" borderId="33" xfId="99" applyFont="1" applyFill="1" applyBorder="1" applyAlignment="1">
      <alignment vertical="center" wrapText="1"/>
      <protection/>
    </xf>
    <xf numFmtId="171" fontId="40" fillId="20" borderId="11" xfId="99" applyNumberFormat="1" applyFont="1" applyFill="1" applyBorder="1" applyAlignment="1">
      <alignment horizontal="right" vertical="center" wrapText="1"/>
      <protection/>
    </xf>
    <xf numFmtId="171" fontId="40" fillId="20" borderId="13" xfId="99" applyNumberFormat="1" applyFont="1" applyFill="1" applyBorder="1" applyAlignment="1">
      <alignment horizontal="right" vertical="center" wrapText="1"/>
      <protection/>
    </xf>
    <xf numFmtId="171" fontId="40" fillId="20" borderId="14" xfId="99" applyNumberFormat="1" applyFont="1" applyFill="1" applyBorder="1" applyAlignment="1">
      <alignment horizontal="right" vertical="center" wrapText="1"/>
      <protection/>
    </xf>
    <xf numFmtId="171" fontId="40" fillId="0" borderId="15" xfId="19" applyNumberFormat="1" applyFont="1" applyFill="1" applyBorder="1" applyAlignment="1" applyProtection="1">
      <alignment horizontal="right" vertical="center" wrapText="1"/>
      <protection/>
    </xf>
    <xf numFmtId="171" fontId="40" fillId="0" borderId="13" xfId="19" applyNumberFormat="1" applyFont="1" applyFill="1" applyBorder="1" applyAlignment="1" applyProtection="1">
      <alignment horizontal="right" vertical="center" wrapText="1"/>
      <protection/>
    </xf>
    <xf numFmtId="164" fontId="42" fillId="0" borderId="35" xfId="99" applyFont="1" applyFill="1" applyBorder="1" applyAlignment="1">
      <alignment horizontal="left" vertical="center" wrapText="1" indent="1"/>
      <protection/>
    </xf>
    <xf numFmtId="171" fontId="42" fillId="20" borderId="16" xfId="99" applyNumberFormat="1" applyFont="1" applyFill="1" applyBorder="1" applyAlignment="1">
      <alignment horizontal="right" vertical="center" wrapText="1"/>
      <protection/>
    </xf>
    <xf numFmtId="171" fontId="42" fillId="20" borderId="18" xfId="99" applyNumberFormat="1" applyFont="1" applyFill="1" applyBorder="1" applyAlignment="1">
      <alignment horizontal="right" vertical="center" wrapText="1"/>
      <protection/>
    </xf>
    <xf numFmtId="171" fontId="42" fillId="20" borderId="19" xfId="99" applyNumberFormat="1" applyFont="1" applyFill="1" applyBorder="1" applyAlignment="1">
      <alignment horizontal="right" vertical="center" wrapText="1"/>
      <protection/>
    </xf>
    <xf numFmtId="171" fontId="42" fillId="0" borderId="20" xfId="19" applyNumberFormat="1" applyFont="1" applyFill="1" applyBorder="1" applyAlignment="1" applyProtection="1">
      <alignment horizontal="right" vertical="center" wrapText="1"/>
      <protection/>
    </xf>
    <xf numFmtId="171" fontId="42" fillId="0" borderId="18" xfId="19" applyNumberFormat="1" applyFont="1" applyFill="1" applyBorder="1" applyAlignment="1" applyProtection="1">
      <alignment horizontal="right" vertical="center" wrapText="1"/>
      <protection/>
    </xf>
    <xf numFmtId="164" fontId="42" fillId="0" borderId="35" xfId="99" applyFont="1" applyFill="1" applyBorder="1" applyAlignment="1">
      <alignment horizontal="left" vertical="center" wrapText="1" indent="2"/>
      <protection/>
    </xf>
    <xf numFmtId="171" fontId="40" fillId="20" borderId="16" xfId="99" applyNumberFormat="1" applyFont="1" applyFill="1" applyBorder="1" applyAlignment="1">
      <alignment horizontal="right" vertical="center" wrapText="1"/>
      <protection/>
    </xf>
    <xf numFmtId="171" fontId="40" fillId="20" borderId="18" xfId="99" applyNumberFormat="1" applyFont="1" applyFill="1" applyBorder="1" applyAlignment="1">
      <alignment horizontal="right" vertical="center" wrapText="1"/>
      <protection/>
    </xf>
    <xf numFmtId="171" fontId="40" fillId="20" borderId="19" xfId="99" applyNumberFormat="1" applyFont="1" applyFill="1" applyBorder="1" applyAlignment="1">
      <alignment horizontal="right" vertical="center" wrapText="1"/>
      <protection/>
    </xf>
    <xf numFmtId="164" fontId="42" fillId="0" borderId="35" xfId="99" applyNumberFormat="1" applyFont="1" applyFill="1" applyBorder="1" applyAlignment="1">
      <alignment horizontal="left" vertical="center" wrapText="1" indent="2"/>
      <protection/>
    </xf>
    <xf numFmtId="164" fontId="42" fillId="0" borderId="34" xfId="99" applyFont="1" applyFill="1" applyBorder="1" applyAlignment="1">
      <alignment horizontal="left" vertical="center" wrapText="1" indent="2"/>
      <protection/>
    </xf>
    <xf numFmtId="171" fontId="40" fillId="20" borderId="23" xfId="99" applyNumberFormat="1" applyFont="1" applyFill="1" applyBorder="1" applyAlignment="1">
      <alignment horizontal="right" vertical="center" wrapText="1"/>
      <protection/>
    </xf>
    <xf numFmtId="171" fontId="40" fillId="20" borderId="26" xfId="99" applyNumberFormat="1" applyFont="1" applyFill="1" applyBorder="1" applyAlignment="1">
      <alignment horizontal="right" vertical="center" wrapText="1"/>
      <protection/>
    </xf>
    <xf numFmtId="171" fontId="40" fillId="20" borderId="27" xfId="99" applyNumberFormat="1" applyFont="1" applyFill="1" applyBorder="1" applyAlignment="1">
      <alignment horizontal="right" vertical="center" wrapText="1"/>
      <protection/>
    </xf>
    <xf numFmtId="171" fontId="42" fillId="0" borderId="28" xfId="19" applyNumberFormat="1" applyFont="1" applyFill="1" applyBorder="1" applyAlignment="1" applyProtection="1">
      <alignment horizontal="right" vertical="center" wrapText="1"/>
      <protection/>
    </xf>
    <xf numFmtId="171" fontId="42" fillId="0" borderId="26" xfId="19" applyNumberFormat="1" applyFont="1" applyFill="1" applyBorder="1" applyAlignment="1" applyProtection="1">
      <alignment horizontal="right" vertical="center" wrapText="1"/>
      <protection/>
    </xf>
    <xf numFmtId="164" fontId="42" fillId="0" borderId="35" xfId="99" applyFont="1" applyFill="1" applyBorder="1" applyAlignment="1">
      <alignment horizontal="left" vertical="center" wrapText="1" indent="3"/>
      <protection/>
    </xf>
    <xf numFmtId="171" fontId="42" fillId="20" borderId="23" xfId="99" applyNumberFormat="1" applyFont="1" applyFill="1" applyBorder="1" applyAlignment="1">
      <alignment horizontal="right" vertical="center" wrapText="1"/>
      <protection/>
    </xf>
    <xf numFmtId="171" fontId="42" fillId="20" borderId="26" xfId="99" applyNumberFormat="1" applyFont="1" applyFill="1" applyBorder="1" applyAlignment="1">
      <alignment horizontal="right" vertical="center" wrapText="1"/>
      <protection/>
    </xf>
    <xf numFmtId="171" fontId="42" fillId="20" borderId="27" xfId="99" applyNumberFormat="1" applyFont="1" applyFill="1" applyBorder="1" applyAlignment="1">
      <alignment horizontal="right" vertical="center" wrapText="1"/>
      <protection/>
    </xf>
    <xf numFmtId="164" fontId="40" fillId="0" borderId="40" xfId="99" applyFont="1" applyFill="1" applyBorder="1" applyAlignment="1">
      <alignment vertical="center" wrapText="1"/>
      <protection/>
    </xf>
    <xf numFmtId="164" fontId="40" fillId="0" borderId="0" xfId="99" applyFont="1" applyFill="1" applyBorder="1" applyAlignment="1">
      <alignment vertical="center" wrapText="1"/>
      <protection/>
    </xf>
    <xf numFmtId="164" fontId="42" fillId="0" borderId="0" xfId="0" applyFont="1" applyBorder="1" applyAlignment="1">
      <alignment horizontal="center" vertical="center"/>
    </xf>
    <xf numFmtId="164" fontId="42" fillId="0" borderId="0" xfId="0" applyFont="1" applyBorder="1" applyAlignment="1">
      <alignment/>
    </xf>
    <xf numFmtId="164" fontId="42" fillId="0" borderId="33" xfId="99" applyFont="1" applyFill="1" applyBorder="1" applyAlignment="1">
      <alignment horizontal="left" vertical="center" wrapText="1" indent="1"/>
      <protection/>
    </xf>
    <xf numFmtId="171" fontId="42" fillId="20" borderId="11" xfId="99" applyNumberFormat="1" applyFont="1" applyFill="1" applyBorder="1" applyAlignment="1">
      <alignment horizontal="right" vertical="center" wrapText="1"/>
      <protection/>
    </xf>
    <xf numFmtId="171" fontId="42" fillId="20" borderId="13" xfId="99" applyNumberFormat="1" applyFont="1" applyFill="1" applyBorder="1" applyAlignment="1">
      <alignment horizontal="right" vertical="center" wrapText="1"/>
      <protection/>
    </xf>
    <xf numFmtId="171" fontId="42" fillId="20" borderId="14" xfId="99" applyNumberFormat="1" applyFont="1" applyFill="1" applyBorder="1" applyAlignment="1">
      <alignment horizontal="right" vertical="center" wrapText="1"/>
      <protection/>
    </xf>
    <xf numFmtId="171" fontId="42" fillId="0" borderId="15" xfId="19" applyNumberFormat="1" applyFont="1" applyFill="1" applyBorder="1" applyAlignment="1" applyProtection="1">
      <alignment horizontal="right" vertical="center" wrapText="1"/>
      <protection/>
    </xf>
    <xf numFmtId="171" fontId="42" fillId="0" borderId="13" xfId="19" applyNumberFormat="1" applyFont="1" applyFill="1" applyBorder="1" applyAlignment="1" applyProtection="1">
      <alignment horizontal="right" vertical="center" wrapText="1"/>
      <protection/>
    </xf>
    <xf numFmtId="164" fontId="42" fillId="0" borderId="34" xfId="99" applyFont="1" applyFill="1" applyBorder="1" applyAlignment="1">
      <alignment horizontal="left" vertical="center" wrapText="1" indent="1"/>
      <protection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58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3" fillId="4" borderId="0" xfId="0" applyFont="1" applyFill="1" applyBorder="1" applyAlignment="1" applyProtection="1">
      <alignment horizontal="left" vertical="center" wrapText="1"/>
      <protection locked="0"/>
    </xf>
    <xf numFmtId="164" fontId="53" fillId="4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vertical="center"/>
      <protection locked="0"/>
    </xf>
    <xf numFmtId="164" fontId="53" fillId="2" borderId="0" xfId="0" applyFont="1" applyFill="1" applyBorder="1" applyAlignment="1" applyProtection="1">
      <alignment horizontal="left" vertical="center"/>
      <protection locked="0"/>
    </xf>
    <xf numFmtId="164" fontId="59" fillId="0" borderId="0" xfId="0" applyFont="1" applyAlignment="1" applyProtection="1">
      <alignment vertical="center"/>
      <protection locked="0"/>
    </xf>
    <xf numFmtId="164" fontId="51" fillId="0" borderId="0" xfId="0" applyFont="1" applyAlignment="1" applyProtection="1">
      <alignment horizontal="right" vertical="center"/>
      <protection locked="0"/>
    </xf>
    <xf numFmtId="166" fontId="39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6" fontId="39" fillId="8" borderId="0" xfId="0" applyNumberFormat="1" applyFont="1" applyFill="1" applyAlignment="1" applyProtection="1">
      <alignment vertical="center"/>
      <protection locked="0"/>
    </xf>
    <xf numFmtId="164" fontId="60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1" fillId="0" borderId="0" xfId="0" applyFont="1" applyBorder="1" applyAlignment="1" applyProtection="1">
      <alignment horizontal="right" vertical="center"/>
      <protection locked="0"/>
    </xf>
    <xf numFmtId="164" fontId="39" fillId="8" borderId="0" xfId="0" applyFont="1" applyFill="1" applyBorder="1" applyAlignment="1" applyProtection="1">
      <alignment vertical="center"/>
      <protection locked="0"/>
    </xf>
    <xf numFmtId="164" fontId="40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6" fontId="39" fillId="20" borderId="11" xfId="99" applyNumberFormat="1" applyFont="1" applyFill="1" applyBorder="1" applyAlignment="1" applyProtection="1">
      <alignment horizontal="center" vertical="center"/>
      <protection locked="0"/>
    </xf>
    <xf numFmtId="166" fontId="39" fillId="20" borderId="41" xfId="99" applyNumberFormat="1" applyFont="1" applyFill="1" applyBorder="1" applyAlignment="1" applyProtection="1">
      <alignment horizontal="center" vertical="center"/>
      <protection locked="0"/>
    </xf>
    <xf numFmtId="166" fontId="39" fillId="20" borderId="12" xfId="99" applyNumberFormat="1" applyFont="1" applyFill="1" applyBorder="1" applyAlignment="1" applyProtection="1">
      <alignment horizontal="center" vertical="center"/>
      <protection locked="0"/>
    </xf>
    <xf numFmtId="166" fontId="39" fillId="20" borderId="11" xfId="99" applyNumberFormat="1" applyFont="1" applyFill="1" applyBorder="1" applyAlignment="1" applyProtection="1">
      <alignment horizontal="center" vertical="center" wrapText="1"/>
      <protection locked="0"/>
    </xf>
    <xf numFmtId="166" fontId="39" fillId="20" borderId="13" xfId="99" applyNumberFormat="1" applyFont="1" applyFill="1" applyBorder="1" applyAlignment="1" applyProtection="1">
      <alignment horizontal="center" vertical="center" wrapText="1"/>
      <protection locked="0"/>
    </xf>
    <xf numFmtId="166" fontId="39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9" fillId="20" borderId="15" xfId="99" applyNumberFormat="1" applyFont="1" applyFill="1" applyBorder="1" applyAlignment="1" applyProtection="1">
      <alignment horizontal="center" vertical="center"/>
      <protection locked="0"/>
    </xf>
    <xf numFmtId="167" fontId="39" fillId="20" borderId="13" xfId="99" applyNumberFormat="1" applyFont="1" applyFill="1" applyBorder="1" applyAlignment="1" applyProtection="1">
      <alignment horizontal="center" vertical="center"/>
      <protection locked="0"/>
    </xf>
    <xf numFmtId="167" fontId="39" fillId="20" borderId="14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40" fillId="0" borderId="16" xfId="0" applyFont="1" applyBorder="1" applyAlignment="1" applyProtection="1">
      <alignment horizontal="left" vertical="center"/>
      <protection locked="0"/>
    </xf>
    <xf numFmtId="164" fontId="40" fillId="0" borderId="21" xfId="0" applyFont="1" applyBorder="1" applyAlignment="1" applyProtection="1">
      <alignment horizontal="left" vertical="center" wrapText="1"/>
      <protection locked="0"/>
    </xf>
    <xf numFmtId="164" fontId="40" fillId="0" borderId="17" xfId="0" applyFont="1" applyBorder="1" applyAlignment="1" applyProtection="1">
      <alignment horizontal="left" vertical="center" wrapText="1"/>
      <protection locked="0"/>
    </xf>
    <xf numFmtId="168" fontId="40" fillId="20" borderId="16" xfId="99" applyNumberFormat="1" applyFont="1" applyFill="1" applyBorder="1" applyAlignment="1" applyProtection="1">
      <alignment vertical="center" shrinkToFit="1"/>
      <protection/>
    </xf>
    <xf numFmtId="168" fontId="40" fillId="20" borderId="18" xfId="99" applyNumberFormat="1" applyFont="1" applyFill="1" applyBorder="1" applyAlignment="1" applyProtection="1">
      <alignment vertical="center" shrinkToFit="1"/>
      <protection/>
    </xf>
    <xf numFmtId="168" fontId="40" fillId="4" borderId="19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40" fillId="4" borderId="18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4" fontId="42" fillId="0" borderId="21" xfId="0" applyFont="1" applyBorder="1" applyAlignment="1" applyProtection="1">
      <alignment horizontal="left" vertical="center" wrapText="1"/>
      <protection locked="0"/>
    </xf>
    <xf numFmtId="164" fontId="42" fillId="0" borderId="17" xfId="0" applyFont="1" applyBorder="1" applyAlignment="1" applyProtection="1">
      <alignment horizontal="right" vertical="center"/>
      <protection locked="0"/>
    </xf>
    <xf numFmtId="168" fontId="42" fillId="20" borderId="16" xfId="99" applyNumberFormat="1" applyFont="1" applyFill="1" applyBorder="1" applyAlignment="1" applyProtection="1">
      <alignment vertical="center" shrinkToFit="1"/>
      <protection/>
    </xf>
    <xf numFmtId="168" fontId="42" fillId="20" borderId="18" xfId="99" applyNumberFormat="1" applyFont="1" applyFill="1" applyBorder="1" applyAlignment="1" applyProtection="1">
      <alignment vertical="center" shrinkToFit="1"/>
      <protection/>
    </xf>
    <xf numFmtId="168" fontId="42" fillId="20" borderId="19" xfId="99" applyNumberFormat="1" applyFont="1" applyFill="1" applyBorder="1" applyAlignment="1" applyProtection="1">
      <alignment vertical="center" shrinkToFit="1"/>
      <protection/>
    </xf>
    <xf numFmtId="168" fontId="42" fillId="2" borderId="20" xfId="99" applyNumberFormat="1" applyFont="1" applyFill="1" applyBorder="1" applyAlignment="1" applyProtection="1">
      <alignment vertical="center" shrinkToFit="1"/>
      <protection/>
    </xf>
    <xf numFmtId="168" fontId="42" fillId="2" borderId="18" xfId="99" applyNumberFormat="1" applyFont="1" applyFill="1" applyBorder="1" applyAlignment="1" applyProtection="1">
      <alignment vertical="center" shrinkToFit="1"/>
      <protection/>
    </xf>
    <xf numFmtId="168" fontId="42" fillId="2" borderId="19" xfId="99" applyNumberFormat="1" applyFont="1" applyFill="1" applyBorder="1" applyAlignment="1" applyProtection="1">
      <alignment vertical="center" shrinkToFit="1"/>
      <protection/>
    </xf>
    <xf numFmtId="164" fontId="42" fillId="0" borderId="21" xfId="0" applyFont="1" applyBorder="1" applyAlignment="1" applyProtection="1">
      <alignment horizontal="right" vertical="center"/>
      <protection locked="0"/>
    </xf>
    <xf numFmtId="168" fontId="42" fillId="20" borderId="16" xfId="99" applyNumberFormat="1" applyFont="1" applyFill="1" applyBorder="1" applyAlignment="1" applyProtection="1">
      <alignment horizontal="center" vertical="center" shrinkToFit="1"/>
      <protection/>
    </xf>
    <xf numFmtId="168" fontId="42" fillId="20" borderId="18" xfId="99" applyNumberFormat="1" applyFont="1" applyFill="1" applyBorder="1" applyAlignment="1" applyProtection="1">
      <alignment horizontal="center" vertical="center" shrinkToFit="1"/>
      <protection/>
    </xf>
    <xf numFmtId="168" fontId="42" fillId="20" borderId="19" xfId="99" applyNumberFormat="1" applyFont="1" applyFill="1" applyBorder="1" applyAlignment="1" applyProtection="1">
      <alignment horizontal="center" vertical="center" shrinkToFit="1"/>
      <protection/>
    </xf>
    <xf numFmtId="164" fontId="42" fillId="0" borderId="21" xfId="0" applyFont="1" applyBorder="1" applyAlignment="1" applyProtection="1">
      <alignment vertical="center" wrapText="1"/>
      <protection locked="0"/>
    </xf>
    <xf numFmtId="168" fontId="40" fillId="20" borderId="19" xfId="99" applyNumberFormat="1" applyFont="1" applyFill="1" applyBorder="1" applyAlignment="1" applyProtection="1">
      <alignment vertical="center" shrinkToFit="1"/>
      <protection/>
    </xf>
    <xf numFmtId="168" fontId="61" fillId="4" borderId="20" xfId="99" applyNumberFormat="1" applyFont="1" applyFill="1" applyBorder="1" applyAlignment="1" applyProtection="1">
      <alignment horizontal="right" vertical="center" shrinkToFit="1"/>
      <protection/>
    </xf>
    <xf numFmtId="168" fontId="61" fillId="4" borderId="18" xfId="99" applyNumberFormat="1" applyFont="1" applyFill="1" applyBorder="1" applyAlignment="1" applyProtection="1">
      <alignment horizontal="right" vertical="center" shrinkToFit="1"/>
      <protection/>
    </xf>
    <xf numFmtId="168" fontId="61" fillId="4" borderId="19" xfId="99" applyNumberFormat="1" applyFont="1" applyFill="1" applyBorder="1" applyAlignment="1" applyProtection="1">
      <alignment horizontal="right" vertical="center" shrinkToFit="1"/>
      <protection/>
    </xf>
    <xf numFmtId="169" fontId="42" fillId="20" borderId="16" xfId="99" applyNumberFormat="1" applyFont="1" applyFill="1" applyBorder="1" applyAlignment="1" applyProtection="1">
      <alignment vertical="center" shrinkToFit="1"/>
      <protection/>
    </xf>
    <xf numFmtId="169" fontId="42" fillId="20" borderId="18" xfId="99" applyNumberFormat="1" applyFont="1" applyFill="1" applyBorder="1" applyAlignment="1" applyProtection="1">
      <alignment vertical="center" shrinkToFit="1"/>
      <protection/>
    </xf>
    <xf numFmtId="169" fontId="42" fillId="4" borderId="19" xfId="99" applyNumberFormat="1" applyFont="1" applyFill="1" applyBorder="1" applyAlignment="1" applyProtection="1">
      <alignment horizontal="right" vertical="center" shrinkToFit="1"/>
      <protection/>
    </xf>
    <xf numFmtId="169" fontId="42" fillId="4" borderId="20" xfId="99" applyNumberFormat="1" applyFont="1" applyFill="1" applyBorder="1" applyAlignment="1" applyProtection="1">
      <alignment horizontal="right" vertical="center" shrinkToFit="1"/>
      <protection/>
    </xf>
    <xf numFmtId="169" fontId="42" fillId="4" borderId="18" xfId="99" applyNumberFormat="1" applyFont="1" applyFill="1" applyBorder="1" applyAlignment="1" applyProtection="1">
      <alignment horizontal="right"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18" xfId="99" applyNumberFormat="1" applyFont="1" applyFill="1" applyBorder="1" applyAlignment="1" applyProtection="1">
      <alignment vertical="center" shrinkToFit="1"/>
      <protection/>
    </xf>
    <xf numFmtId="168" fontId="40" fillId="2" borderId="19" xfId="99" applyNumberFormat="1" applyFont="1" applyFill="1" applyBorder="1" applyAlignment="1" applyProtection="1">
      <alignment vertical="center" shrinkToFit="1"/>
      <protection/>
    </xf>
    <xf numFmtId="168" fontId="40" fillId="20" borderId="16" xfId="99" applyNumberFormat="1" applyFont="1" applyFill="1" applyBorder="1" applyAlignment="1" applyProtection="1">
      <alignment horizontal="center" vertical="center" shrinkToFit="1"/>
      <protection/>
    </xf>
    <xf numFmtId="168" fontId="40" fillId="20" borderId="18" xfId="99" applyNumberFormat="1" applyFont="1" applyFill="1" applyBorder="1" applyAlignment="1" applyProtection="1">
      <alignment horizontal="center" vertical="center" shrinkToFit="1"/>
      <protection/>
    </xf>
    <xf numFmtId="168" fontId="40" fillId="20" borderId="19" xfId="99" applyNumberFormat="1" applyFont="1" applyFill="1" applyBorder="1" applyAlignment="1" applyProtection="1">
      <alignment horizontal="center" vertical="center" shrinkToFit="1"/>
      <protection/>
    </xf>
    <xf numFmtId="168" fontId="40" fillId="0" borderId="20" xfId="99" applyNumberFormat="1" applyFont="1" applyFill="1" applyBorder="1" applyAlignment="1" applyProtection="1">
      <alignment horizontal="center" vertical="center" shrinkToFit="1"/>
      <protection/>
    </xf>
    <xf numFmtId="168" fontId="40" fillId="0" borderId="18" xfId="99" applyNumberFormat="1" applyFont="1" applyFill="1" applyBorder="1" applyAlignment="1" applyProtection="1">
      <alignment horizontal="center" vertical="center" shrinkToFit="1"/>
      <protection/>
    </xf>
    <xf numFmtId="168" fontId="40" fillId="0" borderId="19" xfId="99" applyNumberFormat="1" applyFont="1" applyFill="1" applyBorder="1" applyAlignment="1" applyProtection="1">
      <alignment horizontal="center" vertical="center" shrinkToFit="1"/>
      <protection/>
    </xf>
    <xf numFmtId="168" fontId="42" fillId="4" borderId="19" xfId="99" applyNumberFormat="1" applyFont="1" applyFill="1" applyBorder="1" applyAlignment="1" applyProtection="1">
      <alignment vertical="center" shrinkToFit="1"/>
      <protection/>
    </xf>
    <xf numFmtId="168" fontId="42" fillId="4" borderId="20" xfId="99" applyNumberFormat="1" applyFont="1" applyFill="1" applyBorder="1" applyAlignment="1" applyProtection="1">
      <alignment vertical="center" shrinkToFit="1"/>
      <protection/>
    </xf>
    <xf numFmtId="168" fontId="42" fillId="4" borderId="18" xfId="99" applyNumberFormat="1" applyFont="1" applyFill="1" applyBorder="1" applyAlignment="1" applyProtection="1">
      <alignment vertical="center" shrinkToFit="1"/>
      <protection/>
    </xf>
    <xf numFmtId="164" fontId="42" fillId="0" borderId="21" xfId="0" applyFont="1" applyBorder="1" applyAlignment="1" applyProtection="1">
      <alignment horizontal="left" vertical="center"/>
      <protection locked="0"/>
    </xf>
    <xf numFmtId="169" fontId="42" fillId="4" borderId="16" xfId="99" applyNumberFormat="1" applyFont="1" applyFill="1" applyBorder="1" applyAlignment="1" applyProtection="1">
      <alignment horizontal="right" vertical="center" shrinkToFit="1"/>
      <protection/>
    </xf>
    <xf numFmtId="164" fontId="42" fillId="0" borderId="22" xfId="0" applyFont="1" applyBorder="1" applyAlignment="1" applyProtection="1">
      <alignment horizontal="left" vertical="center" wrapText="1"/>
      <protection locked="0"/>
    </xf>
    <xf numFmtId="164" fontId="42" fillId="4" borderId="16" xfId="99" applyNumberFormat="1" applyFont="1" applyFill="1" applyBorder="1" applyAlignment="1" applyProtection="1">
      <alignment horizontal="right" vertical="center" shrinkToFit="1"/>
      <protection/>
    </xf>
    <xf numFmtId="164" fontId="42" fillId="4" borderId="20" xfId="99" applyNumberFormat="1" applyFont="1" applyFill="1" applyBorder="1" applyAlignment="1" applyProtection="1">
      <alignment horizontal="right" vertical="center" shrinkToFit="1"/>
      <protection/>
    </xf>
    <xf numFmtId="164" fontId="42" fillId="4" borderId="19" xfId="99" applyNumberFormat="1" applyFont="1" applyFill="1" applyBorder="1" applyAlignment="1" applyProtection="1">
      <alignment horizontal="right" vertical="center" shrinkToFit="1"/>
      <protection/>
    </xf>
    <xf numFmtId="164" fontId="42" fillId="0" borderId="22" xfId="0" applyFont="1" applyBorder="1" applyAlignment="1" applyProtection="1">
      <alignment horizontal="right" vertical="center"/>
      <protection locked="0"/>
    </xf>
    <xf numFmtId="164" fontId="42" fillId="0" borderId="35" xfId="0" applyFont="1" applyBorder="1" applyAlignment="1" applyProtection="1">
      <alignment horizontal="left" vertical="center" wrapText="1"/>
      <protection locked="0"/>
    </xf>
    <xf numFmtId="168" fontId="52" fillId="4" borderId="20" xfId="99" applyNumberFormat="1" applyFont="1" applyFill="1" applyBorder="1" applyAlignment="1" applyProtection="1">
      <alignment vertical="center" shrinkToFit="1"/>
      <protection/>
    </xf>
    <xf numFmtId="168" fontId="52" fillId="4" borderId="18" xfId="99" applyNumberFormat="1" applyFont="1" applyFill="1" applyBorder="1" applyAlignment="1" applyProtection="1">
      <alignment vertical="center" shrinkToFit="1"/>
      <protection/>
    </xf>
    <xf numFmtId="168" fontId="52" fillId="4" borderId="19" xfId="99" applyNumberFormat="1" applyFont="1" applyFill="1" applyBorder="1" applyAlignment="1" applyProtection="1">
      <alignment vertical="center" shrinkToFit="1"/>
      <protection/>
    </xf>
    <xf numFmtId="164" fontId="42" fillId="0" borderId="23" xfId="0" applyFont="1" applyBorder="1" applyAlignment="1" applyProtection="1">
      <alignment horizontal="left" vertical="center"/>
      <protection locked="0"/>
    </xf>
    <xf numFmtId="164" fontId="42" fillId="0" borderId="25" xfId="0" applyFont="1" applyBorder="1" applyAlignment="1" applyProtection="1">
      <alignment horizontal="left" vertical="center" wrapText="1"/>
      <protection locked="0"/>
    </xf>
    <xf numFmtId="164" fontId="42" fillId="0" borderId="24" xfId="0" applyFont="1" applyBorder="1" applyAlignment="1" applyProtection="1">
      <alignment horizontal="right" vertical="center"/>
      <protection locked="0"/>
    </xf>
    <xf numFmtId="168" fontId="42" fillId="20" borderId="23" xfId="99" applyNumberFormat="1" applyFont="1" applyFill="1" applyBorder="1" applyAlignment="1" applyProtection="1">
      <alignment vertical="center" shrinkToFit="1"/>
      <protection/>
    </xf>
    <xf numFmtId="168" fontId="42" fillId="20" borderId="26" xfId="99" applyNumberFormat="1" applyFont="1" applyFill="1" applyBorder="1" applyAlignment="1" applyProtection="1">
      <alignment vertical="center" shrinkToFit="1"/>
      <protection/>
    </xf>
    <xf numFmtId="168" fontId="42" fillId="20" borderId="27" xfId="99" applyNumberFormat="1" applyFont="1" applyFill="1" applyBorder="1" applyAlignment="1" applyProtection="1">
      <alignment vertical="center" shrinkToFit="1"/>
      <protection/>
    </xf>
    <xf numFmtId="168" fontId="42" fillId="2" borderId="28" xfId="99" applyNumberFormat="1" applyFont="1" applyFill="1" applyBorder="1" applyAlignment="1" applyProtection="1">
      <alignment vertical="center" shrinkToFit="1"/>
      <protection/>
    </xf>
    <xf numFmtId="168" fontId="42" fillId="2" borderId="26" xfId="99" applyNumberFormat="1" applyFont="1" applyFill="1" applyBorder="1" applyAlignment="1" applyProtection="1">
      <alignment vertical="center" shrinkToFit="1"/>
      <protection/>
    </xf>
    <xf numFmtId="168" fontId="42" fillId="2" borderId="27" xfId="99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4" fontId="46" fillId="0" borderId="0" xfId="0" applyFont="1" applyBorder="1" applyAlignment="1" applyProtection="1">
      <alignment vertical="center" wrapText="1"/>
      <protection/>
    </xf>
    <xf numFmtId="164" fontId="46" fillId="0" borderId="0" xfId="0" applyFont="1" applyBorder="1" applyAlignment="1" applyProtection="1">
      <alignment horizontal="left" vertical="center" wrapText="1"/>
      <protection/>
    </xf>
    <xf numFmtId="164" fontId="48" fillId="0" borderId="0" xfId="0" applyFont="1" applyFill="1" applyBorder="1" applyAlignment="1" applyProtection="1">
      <alignment vertical="center"/>
      <protection locked="0"/>
    </xf>
    <xf numFmtId="164" fontId="62" fillId="0" borderId="42" xfId="102" applyFont="1" applyBorder="1" applyAlignment="1" applyProtection="1">
      <alignment horizontal="left" vertical="center"/>
      <protection locked="0"/>
    </xf>
    <xf numFmtId="164" fontId="48" fillId="19" borderId="43" xfId="0" applyFont="1" applyFill="1" applyBorder="1" applyAlignment="1" applyProtection="1">
      <alignment horizontal="left" vertical="center" wrapText="1"/>
      <protection locked="0"/>
    </xf>
    <xf numFmtId="164" fontId="46" fillId="20" borderId="11" xfId="0" applyFont="1" applyFill="1" applyBorder="1" applyAlignment="1" applyProtection="1">
      <alignment vertical="center" wrapText="1"/>
      <protection/>
    </xf>
    <xf numFmtId="164" fontId="46" fillId="20" borderId="13" xfId="0" applyFont="1" applyFill="1" applyBorder="1" applyAlignment="1" applyProtection="1">
      <alignment vertical="center" wrapText="1"/>
      <protection/>
    </xf>
    <xf numFmtId="164" fontId="46" fillId="20" borderId="14" xfId="0" applyFont="1" applyFill="1" applyBorder="1" applyAlignment="1" applyProtection="1">
      <alignment vertical="center" wrapText="1"/>
      <protection/>
    </xf>
    <xf numFmtId="164" fontId="35" fillId="0" borderId="15" xfId="0" applyFont="1" applyBorder="1" applyAlignment="1" applyProtection="1">
      <alignment horizontal="center" vertical="center"/>
      <protection/>
    </xf>
    <xf numFmtId="164" fontId="35" fillId="0" borderId="13" xfId="0" applyFont="1" applyBorder="1" applyAlignment="1" applyProtection="1">
      <alignment horizontal="center" vertical="center"/>
      <protection/>
    </xf>
    <xf numFmtId="164" fontId="35" fillId="0" borderId="14" xfId="0" applyFont="1" applyBorder="1" applyAlignment="1" applyProtection="1">
      <alignment horizontal="center" vertical="center"/>
      <protection/>
    </xf>
    <xf numFmtId="164" fontId="62" fillId="0" borderId="16" xfId="102" applyFont="1" applyBorder="1" applyAlignment="1" applyProtection="1">
      <alignment horizontal="left" vertical="center"/>
      <protection locked="0"/>
    </xf>
    <xf numFmtId="164" fontId="48" fillId="19" borderId="17" xfId="0" applyFont="1" applyFill="1" applyBorder="1" applyAlignment="1" applyProtection="1">
      <alignment horizontal="left" vertical="center" wrapText="1"/>
      <protection locked="0"/>
    </xf>
    <xf numFmtId="164" fontId="46" fillId="20" borderId="16" xfId="0" applyFont="1" applyFill="1" applyBorder="1" applyAlignment="1" applyProtection="1">
      <alignment vertical="center" wrapText="1"/>
      <protection/>
    </xf>
    <xf numFmtId="164" fontId="46" fillId="20" borderId="18" xfId="0" applyFont="1" applyFill="1" applyBorder="1" applyAlignment="1" applyProtection="1">
      <alignment vertical="center" wrapText="1"/>
      <protection/>
    </xf>
    <xf numFmtId="164" fontId="46" fillId="20" borderId="19" xfId="0" applyFont="1" applyFill="1" applyBorder="1" applyAlignment="1" applyProtection="1">
      <alignment vertical="center" wrapText="1"/>
      <protection/>
    </xf>
    <xf numFmtId="164" fontId="35" fillId="0" borderId="20" xfId="0" applyFont="1" applyBorder="1" applyAlignment="1" applyProtection="1">
      <alignment horizontal="center" vertical="center"/>
      <protection/>
    </xf>
    <xf numFmtId="164" fontId="35" fillId="0" borderId="18" xfId="0" applyFont="1" applyBorder="1" applyAlignment="1" applyProtection="1">
      <alignment horizontal="center" vertical="center"/>
      <protection/>
    </xf>
    <xf numFmtId="164" fontId="35" fillId="0" borderId="19" xfId="0" applyFont="1" applyBorder="1" applyAlignment="1" applyProtection="1">
      <alignment horizontal="center" vertical="center"/>
      <protection/>
    </xf>
    <xf numFmtId="164" fontId="48" fillId="11" borderId="17" xfId="0" applyFont="1" applyFill="1" applyBorder="1" applyAlignment="1" applyProtection="1">
      <alignment horizontal="left" vertical="center" wrapText="1"/>
      <protection locked="0"/>
    </xf>
    <xf numFmtId="168" fontId="35" fillId="0" borderId="20" xfId="0" applyNumberFormat="1" applyFont="1" applyFill="1" applyBorder="1" applyAlignment="1" applyProtection="1">
      <alignment horizontal="center" vertical="center"/>
      <protection/>
    </xf>
    <xf numFmtId="168" fontId="35" fillId="0" borderId="18" xfId="0" applyNumberFormat="1" applyFont="1" applyFill="1" applyBorder="1" applyAlignment="1" applyProtection="1">
      <alignment horizontal="center" vertical="center"/>
      <protection/>
    </xf>
    <xf numFmtId="168" fontId="35" fillId="0" borderId="19" xfId="0" applyNumberFormat="1" applyFont="1" applyFill="1" applyBorder="1" applyAlignment="1" applyProtection="1">
      <alignment horizontal="center" vertical="center"/>
      <protection/>
    </xf>
    <xf numFmtId="164" fontId="48" fillId="24" borderId="17" xfId="0" applyFont="1" applyFill="1" applyBorder="1" applyAlignment="1" applyProtection="1">
      <alignment horizontal="left" vertical="center" wrapText="1"/>
      <protection locked="0"/>
    </xf>
    <xf numFmtId="164" fontId="35" fillId="0" borderId="20" xfId="0" applyNumberFormat="1" applyFont="1" applyFill="1" applyBorder="1" applyAlignment="1" applyProtection="1">
      <alignment horizontal="center" vertical="center"/>
      <protection/>
    </xf>
    <xf numFmtId="164" fontId="35" fillId="0" borderId="18" xfId="0" applyNumberFormat="1" applyFont="1" applyFill="1" applyBorder="1" applyAlignment="1" applyProtection="1">
      <alignment horizontal="center" vertical="center"/>
      <protection/>
    </xf>
    <xf numFmtId="164" fontId="35" fillId="0" borderId="19" xfId="0" applyNumberFormat="1" applyFont="1" applyFill="1" applyBorder="1" applyAlignment="1" applyProtection="1">
      <alignment horizontal="center" vertical="center"/>
      <protection/>
    </xf>
    <xf numFmtId="164" fontId="62" fillId="0" borderId="23" xfId="102" applyFont="1" applyBorder="1" applyAlignment="1" applyProtection="1">
      <alignment horizontal="left" vertical="center"/>
      <protection locked="0"/>
    </xf>
    <xf numFmtId="164" fontId="48" fillId="24" borderId="24" xfId="0" applyFont="1" applyFill="1" applyBorder="1" applyAlignment="1" applyProtection="1">
      <alignment horizontal="left" vertical="center" wrapText="1"/>
      <protection locked="0"/>
    </xf>
    <xf numFmtId="164" fontId="46" fillId="20" borderId="23" xfId="0" applyFont="1" applyFill="1" applyBorder="1" applyAlignment="1" applyProtection="1">
      <alignment vertical="center" wrapText="1"/>
      <protection/>
    </xf>
    <xf numFmtId="164" fontId="46" fillId="20" borderId="26" xfId="0" applyFont="1" applyFill="1" applyBorder="1" applyAlignment="1" applyProtection="1">
      <alignment vertical="center" wrapText="1"/>
      <protection/>
    </xf>
    <xf numFmtId="164" fontId="46" fillId="20" borderId="27" xfId="0" applyFont="1" applyFill="1" applyBorder="1" applyAlignment="1" applyProtection="1">
      <alignment vertical="center" wrapText="1"/>
      <protection/>
    </xf>
    <xf numFmtId="164" fontId="35" fillId="0" borderId="28" xfId="0" applyFont="1" applyBorder="1" applyAlignment="1" applyProtection="1">
      <alignment horizontal="center" vertical="center"/>
      <protection/>
    </xf>
    <xf numFmtId="164" fontId="35" fillId="0" borderId="26" xfId="0" applyFont="1" applyBorder="1" applyAlignment="1" applyProtection="1">
      <alignment horizontal="center" vertical="center"/>
      <protection/>
    </xf>
    <xf numFmtId="164" fontId="35" fillId="0" borderId="27" xfId="0" applyFont="1" applyBorder="1" applyAlignment="1" applyProtection="1">
      <alignment horizontal="center" vertical="center"/>
      <protection/>
    </xf>
    <xf numFmtId="164" fontId="46" fillId="0" borderId="0" xfId="0" applyFont="1" applyBorder="1" applyAlignment="1" applyProtection="1">
      <alignment horizontal="center" vertical="center"/>
      <protection locked="0"/>
    </xf>
    <xf numFmtId="164" fontId="35" fillId="6" borderId="30" xfId="0" applyFont="1" applyFill="1" applyBorder="1" applyAlignment="1" applyProtection="1">
      <alignment vertical="center"/>
      <protection locked="0"/>
    </xf>
    <xf numFmtId="170" fontId="35" fillId="20" borderId="11" xfId="0" applyNumberFormat="1" applyFont="1" applyFill="1" applyBorder="1" applyAlignment="1" applyProtection="1">
      <alignment horizontal="right" vertical="center"/>
      <protection/>
    </xf>
    <xf numFmtId="170" fontId="35" fillId="20" borderId="13" xfId="0" applyNumberFormat="1" applyFont="1" applyFill="1" applyBorder="1" applyAlignment="1" applyProtection="1">
      <alignment horizontal="right" vertical="center"/>
      <protection/>
    </xf>
    <xf numFmtId="170" fontId="35" fillId="20" borderId="14" xfId="0" applyNumberFormat="1" applyFont="1" applyFill="1" applyBorder="1" applyAlignment="1" applyProtection="1">
      <alignment horizontal="right" vertical="center"/>
      <protection/>
    </xf>
    <xf numFmtId="170" fontId="35" fillId="0" borderId="15" xfId="0" applyNumberFormat="1" applyFont="1" applyBorder="1" applyAlignment="1" applyProtection="1">
      <alignment vertical="center"/>
      <protection/>
    </xf>
    <xf numFmtId="170" fontId="35" fillId="0" borderId="13" xfId="0" applyNumberFormat="1" applyFont="1" applyBorder="1" applyAlignment="1" applyProtection="1">
      <alignment vertical="center"/>
      <protection/>
    </xf>
    <xf numFmtId="170" fontId="35" fillId="0" borderId="14" xfId="0" applyNumberFormat="1" applyFont="1" applyBorder="1" applyAlignment="1" applyProtection="1">
      <alignment vertical="center"/>
      <protection/>
    </xf>
    <xf numFmtId="164" fontId="35" fillId="6" borderId="31" xfId="0" applyFont="1" applyFill="1" applyBorder="1" applyAlignment="1" applyProtection="1">
      <alignment vertical="center"/>
      <protection locked="0"/>
    </xf>
    <xf numFmtId="170" fontId="35" fillId="20" borderId="16" xfId="0" applyNumberFormat="1" applyFont="1" applyFill="1" applyBorder="1" applyAlignment="1" applyProtection="1">
      <alignment horizontal="right" vertical="center"/>
      <protection/>
    </xf>
    <xf numFmtId="170" fontId="35" fillId="20" borderId="18" xfId="0" applyNumberFormat="1" applyFont="1" applyFill="1" applyBorder="1" applyAlignment="1" applyProtection="1">
      <alignment horizontal="right" vertical="center"/>
      <protection/>
    </xf>
    <xf numFmtId="170" fontId="35" fillId="20" borderId="19" xfId="0" applyNumberFormat="1" applyFont="1" applyFill="1" applyBorder="1" applyAlignment="1" applyProtection="1">
      <alignment horizontal="right" vertical="center"/>
      <protection/>
    </xf>
    <xf numFmtId="170" fontId="35" fillId="0" borderId="20" xfId="0" applyNumberFormat="1" applyFont="1" applyBorder="1" applyAlignment="1" applyProtection="1">
      <alignment vertical="center"/>
      <protection/>
    </xf>
    <xf numFmtId="170" fontId="35" fillId="0" borderId="18" xfId="0" applyNumberFormat="1" applyFont="1" applyBorder="1" applyAlignment="1" applyProtection="1">
      <alignment vertical="center"/>
      <protection/>
    </xf>
    <xf numFmtId="170" fontId="35" fillId="0" borderId="19" xfId="0" applyNumberFormat="1" applyFont="1" applyBorder="1" applyAlignment="1" applyProtection="1">
      <alignment vertical="center"/>
      <protection/>
    </xf>
    <xf numFmtId="164" fontId="48" fillId="6" borderId="31" xfId="0" applyFont="1" applyFill="1" applyBorder="1" applyAlignment="1" applyProtection="1">
      <alignment horizontal="left" vertical="center" wrapText="1"/>
      <protection locked="0"/>
    </xf>
    <xf numFmtId="164" fontId="48" fillId="6" borderId="32" xfId="0" applyFont="1" applyFill="1" applyBorder="1" applyAlignment="1" applyProtection="1">
      <alignment horizontal="left" vertical="center" wrapText="1"/>
      <protection locked="0"/>
    </xf>
    <xf numFmtId="170" fontId="35" fillId="20" borderId="23" xfId="0" applyNumberFormat="1" applyFont="1" applyFill="1" applyBorder="1" applyAlignment="1" applyProtection="1">
      <alignment horizontal="center" vertical="center"/>
      <protection/>
    </xf>
    <xf numFmtId="170" fontId="35" fillId="20" borderId="26" xfId="0" applyNumberFormat="1" applyFont="1" applyFill="1" applyBorder="1" applyAlignment="1" applyProtection="1">
      <alignment horizontal="right" vertical="center"/>
      <protection/>
    </xf>
    <xf numFmtId="170" fontId="35" fillId="20" borderId="27" xfId="0" applyNumberFormat="1" applyFont="1" applyFill="1" applyBorder="1" applyAlignment="1" applyProtection="1">
      <alignment horizontal="right" vertical="center"/>
      <protection/>
    </xf>
    <xf numFmtId="170" fontId="35" fillId="0" borderId="28" xfId="0" applyNumberFormat="1" applyFont="1" applyBorder="1" applyAlignment="1" applyProtection="1">
      <alignment vertical="center"/>
      <protection/>
    </xf>
    <xf numFmtId="170" fontId="35" fillId="0" borderId="26" xfId="0" applyNumberFormat="1" applyFont="1" applyBorder="1" applyAlignment="1" applyProtection="1">
      <alignment vertical="center"/>
      <protection/>
    </xf>
    <xf numFmtId="170" fontId="35" fillId="0" borderId="27" xfId="0" applyNumberFormat="1" applyFont="1" applyBorder="1" applyAlignment="1" applyProtection="1">
      <alignment vertical="center"/>
      <protection/>
    </xf>
    <xf numFmtId="164" fontId="35" fillId="0" borderId="0" xfId="0" applyFont="1" applyFill="1" applyAlignment="1" applyProtection="1">
      <alignment/>
      <protection/>
    </xf>
    <xf numFmtId="164" fontId="35" fillId="0" borderId="0" xfId="0" applyFont="1" applyAlignment="1" applyProtection="1">
      <alignment/>
      <protection/>
    </xf>
    <xf numFmtId="164" fontId="26" fillId="0" borderId="0" xfId="0" applyFont="1" applyAlignment="1" applyProtection="1">
      <alignment/>
      <protection locked="0"/>
    </xf>
    <xf numFmtId="164" fontId="26" fillId="0" borderId="0" xfId="0" applyFont="1" applyFill="1" applyAlignment="1" applyProtection="1">
      <alignment/>
      <protection/>
    </xf>
    <xf numFmtId="164" fontId="53" fillId="0" borderId="0" xfId="0" applyFont="1" applyFill="1" applyAlignment="1" applyProtection="1">
      <alignment/>
      <protection/>
    </xf>
    <xf numFmtId="171" fontId="36" fillId="17" borderId="0" xfId="19" applyNumberFormat="1" applyFont="1" applyFill="1" applyBorder="1" applyAlignment="1" applyProtection="1">
      <alignment vertical="center"/>
      <protection locked="0"/>
    </xf>
    <xf numFmtId="164" fontId="54" fillId="0" borderId="0" xfId="0" applyFont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35" fillId="0" borderId="0" xfId="0" applyFont="1" applyAlignment="1" applyProtection="1">
      <alignment vertical="center"/>
      <protection/>
    </xf>
    <xf numFmtId="171" fontId="36" fillId="11" borderId="0" xfId="19" applyNumberFormat="1" applyFont="1" applyFill="1" applyBorder="1" applyAlignment="1" applyProtection="1">
      <alignment vertical="center"/>
      <protection locked="0"/>
    </xf>
    <xf numFmtId="171" fontId="36" fillId="24" borderId="0" xfId="19" applyNumberFormat="1" applyFont="1" applyFill="1" applyBorder="1" applyAlignment="1" applyProtection="1">
      <alignment vertical="center"/>
      <protection locked="0"/>
    </xf>
    <xf numFmtId="164" fontId="35" fillId="0" borderId="33" xfId="0" applyFont="1" applyBorder="1" applyAlignment="1" applyProtection="1">
      <alignment/>
      <protection locked="0"/>
    </xf>
    <xf numFmtId="172" fontId="35" fillId="20" borderId="11" xfId="0" applyNumberFormat="1" applyFont="1" applyFill="1" applyBorder="1" applyAlignment="1" applyProtection="1">
      <alignment horizontal="right"/>
      <protection/>
    </xf>
    <xf numFmtId="172" fontId="35" fillId="20" borderId="13" xfId="0" applyNumberFormat="1" applyFont="1" applyFill="1" applyBorder="1" applyAlignment="1" applyProtection="1">
      <alignment horizontal="right"/>
      <protection/>
    </xf>
    <xf numFmtId="172" fontId="35" fillId="20" borderId="14" xfId="0" applyNumberFormat="1" applyFont="1" applyFill="1" applyBorder="1" applyAlignment="1" applyProtection="1">
      <alignment horizontal="right"/>
      <protection/>
    </xf>
    <xf numFmtId="172" fontId="35" fillId="0" borderId="15" xfId="0" applyNumberFormat="1" applyFont="1" applyFill="1" applyBorder="1" applyAlignment="1" applyProtection="1">
      <alignment vertical="center"/>
      <protection/>
    </xf>
    <xf numFmtId="172" fontId="35" fillId="0" borderId="13" xfId="0" applyNumberFormat="1" applyFont="1" applyFill="1" applyBorder="1" applyAlignment="1" applyProtection="1">
      <alignment vertical="center"/>
      <protection/>
    </xf>
    <xf numFmtId="172" fontId="35" fillId="0" borderId="14" xfId="0" applyNumberFormat="1" applyFont="1" applyFill="1" applyBorder="1" applyAlignment="1" applyProtection="1">
      <alignment vertical="center"/>
      <protection/>
    </xf>
    <xf numFmtId="164" fontId="35" fillId="0" borderId="34" xfId="0" applyFont="1" applyBorder="1" applyAlignment="1" applyProtection="1">
      <alignment/>
      <protection locked="0"/>
    </xf>
    <xf numFmtId="172" fontId="35" fillId="20" borderId="23" xfId="0" applyNumberFormat="1" applyFont="1" applyFill="1" applyBorder="1" applyAlignment="1" applyProtection="1">
      <alignment horizontal="right"/>
      <protection/>
    </xf>
    <xf numFmtId="172" fontId="35" fillId="20" borderId="26" xfId="0" applyNumberFormat="1" applyFont="1" applyFill="1" applyBorder="1" applyAlignment="1" applyProtection="1">
      <alignment horizontal="right"/>
      <protection/>
    </xf>
    <xf numFmtId="172" fontId="35" fillId="20" borderId="27" xfId="0" applyNumberFormat="1" applyFont="1" applyFill="1" applyBorder="1" applyAlignment="1" applyProtection="1">
      <alignment horizontal="right"/>
      <protection/>
    </xf>
    <xf numFmtId="172" fontId="35" fillId="0" borderId="28" xfId="0" applyNumberFormat="1" applyFont="1" applyFill="1" applyBorder="1" applyAlignment="1" applyProtection="1">
      <alignment vertical="center"/>
      <protection/>
    </xf>
    <xf numFmtId="172" fontId="35" fillId="0" borderId="26" xfId="0" applyNumberFormat="1" applyFont="1" applyFill="1" applyBorder="1" applyAlignment="1" applyProtection="1">
      <alignment vertical="center"/>
      <protection/>
    </xf>
    <xf numFmtId="172" fontId="35" fillId="0" borderId="27" xfId="0" applyNumberFormat="1" applyFont="1" applyFill="1" applyBorder="1" applyAlignment="1" applyProtection="1">
      <alignment vertical="center"/>
      <protection/>
    </xf>
    <xf numFmtId="171" fontId="35" fillId="24" borderId="0" xfId="106" applyNumberFormat="1" applyFont="1" applyFill="1" applyBorder="1" applyAlignment="1" applyProtection="1">
      <alignment vertical="center"/>
      <protection locked="0"/>
    </xf>
    <xf numFmtId="171" fontId="35" fillId="11" borderId="0" xfId="106" applyNumberFormat="1" applyFont="1" applyFill="1" applyBorder="1" applyAlignment="1" applyProtection="1">
      <alignment vertical="center"/>
      <protection locked="0"/>
    </xf>
    <xf numFmtId="171" fontId="35" fillId="17" borderId="0" xfId="106" applyNumberFormat="1" applyFont="1" applyFill="1" applyBorder="1" applyAlignment="1" applyProtection="1">
      <alignment vertical="center"/>
      <protection locked="0"/>
    </xf>
    <xf numFmtId="164" fontId="36" fillId="0" borderId="0" xfId="0" applyFont="1" applyAlignment="1" applyProtection="1">
      <alignment/>
      <protection locked="0"/>
    </xf>
    <xf numFmtId="164" fontId="36" fillId="0" borderId="33" xfId="0" applyFont="1" applyBorder="1" applyAlignment="1" applyProtection="1">
      <alignment vertical="center"/>
      <protection locked="0"/>
    </xf>
    <xf numFmtId="171" fontId="36" fillId="20" borderId="11" xfId="0" applyNumberFormat="1" applyFont="1" applyFill="1" applyBorder="1" applyAlignment="1" applyProtection="1">
      <alignment horizontal="right" vertical="center"/>
      <protection/>
    </xf>
    <xf numFmtId="171" fontId="36" fillId="20" borderId="13" xfId="0" applyNumberFormat="1" applyFont="1" applyFill="1" applyBorder="1" applyAlignment="1" applyProtection="1">
      <alignment horizontal="right" vertical="center"/>
      <protection/>
    </xf>
    <xf numFmtId="171" fontId="36" fillId="20" borderId="14" xfId="0" applyNumberFormat="1" applyFont="1" applyFill="1" applyBorder="1" applyAlignment="1" applyProtection="1">
      <alignment horizontal="right" vertical="center"/>
      <protection/>
    </xf>
    <xf numFmtId="171" fontId="36" fillId="0" borderId="15" xfId="19" applyNumberFormat="1" applyFont="1" applyFill="1" applyBorder="1" applyAlignment="1" applyProtection="1">
      <alignment horizontal="right" vertical="center"/>
      <protection/>
    </xf>
    <xf numFmtId="171" fontId="36" fillId="0" borderId="13" xfId="19" applyNumberFormat="1" applyFont="1" applyFill="1" applyBorder="1" applyAlignment="1" applyProtection="1">
      <alignment horizontal="right" vertical="center"/>
      <protection/>
    </xf>
    <xf numFmtId="171" fontId="36" fillId="0" borderId="14" xfId="19" applyNumberFormat="1" applyFont="1" applyFill="1" applyBorder="1" applyAlignment="1" applyProtection="1">
      <alignment horizontal="right" vertical="center"/>
      <protection/>
    </xf>
    <xf numFmtId="164" fontId="35" fillId="0" borderId="35" xfId="0" applyFont="1" applyBorder="1" applyAlignment="1" applyProtection="1">
      <alignment horizontal="left" vertical="center" indent="1"/>
      <protection locked="0"/>
    </xf>
    <xf numFmtId="171" fontId="35" fillId="20" borderId="16" xfId="0" applyNumberFormat="1" applyFont="1" applyFill="1" applyBorder="1" applyAlignment="1" applyProtection="1">
      <alignment horizontal="right" vertical="center"/>
      <protection/>
    </xf>
    <xf numFmtId="171" fontId="35" fillId="20" borderId="18" xfId="0" applyNumberFormat="1" applyFont="1" applyFill="1" applyBorder="1" applyAlignment="1" applyProtection="1">
      <alignment horizontal="right" vertical="center"/>
      <protection/>
    </xf>
    <xf numFmtId="171" fontId="35" fillId="20" borderId="19" xfId="0" applyNumberFormat="1" applyFont="1" applyFill="1" applyBorder="1" applyAlignment="1" applyProtection="1">
      <alignment horizontal="right" vertical="center"/>
      <protection/>
    </xf>
    <xf numFmtId="171" fontId="35" fillId="0" borderId="20" xfId="19" applyNumberFormat="1" applyFont="1" applyFill="1" applyBorder="1" applyAlignment="1" applyProtection="1">
      <alignment horizontal="right" vertical="center"/>
      <protection/>
    </xf>
    <xf numFmtId="171" fontId="35" fillId="0" borderId="18" xfId="19" applyNumberFormat="1" applyFont="1" applyFill="1" applyBorder="1" applyAlignment="1" applyProtection="1">
      <alignment horizontal="right" vertical="center"/>
      <protection/>
    </xf>
    <xf numFmtId="171" fontId="35" fillId="0" borderId="19" xfId="19" applyNumberFormat="1" applyFont="1" applyFill="1" applyBorder="1" applyAlignment="1" applyProtection="1">
      <alignment horizontal="right" vertical="center"/>
      <protection/>
    </xf>
    <xf numFmtId="164" fontId="35" fillId="0" borderId="35" xfId="0" applyFont="1" applyBorder="1" applyAlignment="1" applyProtection="1">
      <alignment horizontal="left" vertical="center" wrapText="1" indent="2"/>
      <protection locked="0"/>
    </xf>
    <xf numFmtId="171" fontId="35" fillId="20" borderId="16" xfId="0" applyNumberFormat="1" applyFont="1" applyFill="1" applyBorder="1" applyAlignment="1" applyProtection="1">
      <alignment horizontal="right" vertical="center" wrapText="1"/>
      <protection/>
    </xf>
    <xf numFmtId="171" fontId="35" fillId="20" borderId="18" xfId="0" applyNumberFormat="1" applyFont="1" applyFill="1" applyBorder="1" applyAlignment="1" applyProtection="1">
      <alignment horizontal="right" vertical="center" wrapText="1"/>
      <protection/>
    </xf>
    <xf numFmtId="171" fontId="35" fillId="20" borderId="19" xfId="0" applyNumberFormat="1" applyFont="1" applyFill="1" applyBorder="1" applyAlignment="1" applyProtection="1">
      <alignment horizontal="right" vertical="center" wrapText="1"/>
      <protection/>
    </xf>
    <xf numFmtId="164" fontId="35" fillId="0" borderId="34" xfId="0" applyFont="1" applyBorder="1" applyAlignment="1" applyProtection="1">
      <alignment horizontal="left" vertical="center" wrapText="1" indent="2"/>
      <protection locked="0"/>
    </xf>
    <xf numFmtId="171" fontId="35" fillId="20" borderId="36" xfId="0" applyNumberFormat="1" applyFont="1" applyFill="1" applyBorder="1" applyAlignment="1" applyProtection="1">
      <alignment horizontal="right" vertical="center" wrapText="1"/>
      <protection/>
    </xf>
    <xf numFmtId="171" fontId="35" fillId="20" borderId="37" xfId="0" applyNumberFormat="1" applyFont="1" applyFill="1" applyBorder="1" applyAlignment="1" applyProtection="1">
      <alignment horizontal="right" vertical="center" wrapText="1"/>
      <protection/>
    </xf>
    <xf numFmtId="171" fontId="35" fillId="20" borderId="38" xfId="0" applyNumberFormat="1" applyFont="1" applyFill="1" applyBorder="1" applyAlignment="1" applyProtection="1">
      <alignment horizontal="right" vertical="center" wrapText="1"/>
      <protection/>
    </xf>
    <xf numFmtId="171" fontId="35" fillId="0" borderId="39" xfId="19" applyNumberFormat="1" applyFont="1" applyFill="1" applyBorder="1" applyAlignment="1" applyProtection="1">
      <alignment horizontal="right" vertical="center"/>
      <protection/>
    </xf>
    <xf numFmtId="171" fontId="35" fillId="0" borderId="37" xfId="19" applyNumberFormat="1" applyFont="1" applyFill="1" applyBorder="1" applyAlignment="1" applyProtection="1">
      <alignment horizontal="right" vertical="center"/>
      <protection/>
    </xf>
    <xf numFmtId="171" fontId="35" fillId="0" borderId="38" xfId="19" applyNumberFormat="1" applyFont="1" applyFill="1" applyBorder="1" applyAlignment="1" applyProtection="1">
      <alignment horizontal="right" vertical="center"/>
      <protection/>
    </xf>
    <xf numFmtId="164" fontId="35" fillId="0" borderId="35" xfId="0" applyFont="1" applyBorder="1" applyAlignment="1" applyProtection="1">
      <alignment horizontal="left" vertical="center" wrapText="1" indent="1"/>
      <protection locked="0"/>
    </xf>
    <xf numFmtId="171" fontId="35" fillId="20" borderId="16" xfId="0" applyNumberFormat="1" applyFont="1" applyFill="1" applyBorder="1" applyAlignment="1" applyProtection="1">
      <alignment horizontal="right" vertical="center" wrapText="1"/>
      <protection/>
    </xf>
    <xf numFmtId="171" fontId="35" fillId="20" borderId="18" xfId="0" applyNumberFormat="1" applyFont="1" applyFill="1" applyBorder="1" applyAlignment="1" applyProtection="1">
      <alignment horizontal="right" vertical="center" wrapText="1"/>
      <protection/>
    </xf>
    <xf numFmtId="171" fontId="35" fillId="20" borderId="19" xfId="0" applyNumberFormat="1" applyFont="1" applyFill="1" applyBorder="1" applyAlignment="1" applyProtection="1">
      <alignment horizontal="right" vertical="center" wrapText="1"/>
      <protection/>
    </xf>
    <xf numFmtId="164" fontId="36" fillId="0" borderId="35" xfId="0" applyFont="1" applyBorder="1" applyAlignment="1" applyProtection="1">
      <alignment horizontal="left" vertical="center" indent="1"/>
      <protection locked="0"/>
    </xf>
    <xf numFmtId="171" fontId="36" fillId="20" borderId="16" xfId="0" applyNumberFormat="1" applyFont="1" applyFill="1" applyBorder="1" applyAlignment="1" applyProtection="1">
      <alignment horizontal="right" vertical="center"/>
      <protection/>
    </xf>
    <xf numFmtId="171" fontId="36" fillId="20" borderId="18" xfId="0" applyNumberFormat="1" applyFont="1" applyFill="1" applyBorder="1" applyAlignment="1" applyProtection="1">
      <alignment horizontal="right" vertical="center"/>
      <protection/>
    </xf>
    <xf numFmtId="171" fontId="36" fillId="20" borderId="19" xfId="0" applyNumberFormat="1" applyFont="1" applyFill="1" applyBorder="1" applyAlignment="1" applyProtection="1">
      <alignment horizontal="right" vertical="center"/>
      <protection/>
    </xf>
    <xf numFmtId="171" fontId="36" fillId="0" borderId="20" xfId="19" applyNumberFormat="1" applyFont="1" applyFill="1" applyBorder="1" applyAlignment="1" applyProtection="1">
      <alignment horizontal="right" vertical="center"/>
      <protection/>
    </xf>
    <xf numFmtId="171" fontId="36" fillId="0" borderId="18" xfId="19" applyNumberFormat="1" applyFont="1" applyFill="1" applyBorder="1" applyAlignment="1" applyProtection="1">
      <alignment horizontal="right" vertical="center"/>
      <protection/>
    </xf>
    <xf numFmtId="171" fontId="36" fillId="0" borderId="19" xfId="19" applyNumberFormat="1" applyFont="1" applyFill="1" applyBorder="1" applyAlignment="1" applyProtection="1">
      <alignment horizontal="right" vertical="center"/>
      <protection/>
    </xf>
    <xf numFmtId="171" fontId="35" fillId="20" borderId="23" xfId="0" applyNumberFormat="1" applyFont="1" applyFill="1" applyBorder="1" applyAlignment="1" applyProtection="1">
      <alignment horizontal="right" vertical="center" wrapText="1"/>
      <protection/>
    </xf>
    <xf numFmtId="171" fontId="35" fillId="20" borderId="26" xfId="0" applyNumberFormat="1" applyFont="1" applyFill="1" applyBorder="1" applyAlignment="1" applyProtection="1">
      <alignment horizontal="right" vertical="center" wrapText="1"/>
      <protection/>
    </xf>
    <xf numFmtId="171" fontId="35" fillId="20" borderId="27" xfId="0" applyNumberFormat="1" applyFont="1" applyFill="1" applyBorder="1" applyAlignment="1" applyProtection="1">
      <alignment horizontal="right" vertical="center" wrapText="1"/>
      <protection/>
    </xf>
    <xf numFmtId="171" fontId="35" fillId="0" borderId="28" xfId="19" applyNumberFormat="1" applyFont="1" applyFill="1" applyBorder="1" applyAlignment="1" applyProtection="1">
      <alignment horizontal="right" vertical="center"/>
      <protection/>
    </xf>
    <xf numFmtId="171" fontId="35" fillId="0" borderId="26" xfId="19" applyNumberFormat="1" applyFont="1" applyFill="1" applyBorder="1" applyAlignment="1" applyProtection="1">
      <alignment horizontal="right" vertical="center"/>
      <protection/>
    </xf>
    <xf numFmtId="171" fontId="35" fillId="0" borderId="27" xfId="19" applyNumberFormat="1" applyFont="1" applyFill="1" applyBorder="1" applyAlignment="1" applyProtection="1">
      <alignment horizontal="right" vertical="center"/>
      <protection/>
    </xf>
    <xf numFmtId="168" fontId="36" fillId="20" borderId="11" xfId="0" applyNumberFormat="1" applyFont="1" applyFill="1" applyBorder="1" applyAlignment="1" applyProtection="1">
      <alignment horizontal="right" vertical="center"/>
      <protection/>
    </xf>
    <xf numFmtId="168" fontId="36" fillId="20" borderId="13" xfId="0" applyNumberFormat="1" applyFont="1" applyFill="1" applyBorder="1" applyAlignment="1" applyProtection="1">
      <alignment horizontal="right" vertical="center"/>
      <protection/>
    </xf>
    <xf numFmtId="168" fontId="36" fillId="20" borderId="14" xfId="0" applyNumberFormat="1" applyFont="1" applyFill="1" applyBorder="1" applyAlignment="1" applyProtection="1">
      <alignment horizontal="right" vertical="center"/>
      <protection/>
    </xf>
    <xf numFmtId="168" fontId="36" fillId="0" borderId="15" xfId="0" applyNumberFormat="1" applyFont="1" applyBorder="1" applyAlignment="1" applyProtection="1">
      <alignment vertical="center"/>
      <protection/>
    </xf>
    <xf numFmtId="168" fontId="36" fillId="0" borderId="13" xfId="0" applyNumberFormat="1" applyFont="1" applyBorder="1" applyAlignment="1" applyProtection="1">
      <alignment vertical="center"/>
      <protection/>
    </xf>
    <xf numFmtId="168" fontId="36" fillId="0" borderId="14" xfId="0" applyNumberFormat="1" applyFont="1" applyBorder="1" applyAlignment="1" applyProtection="1">
      <alignment vertical="center"/>
      <protection/>
    </xf>
    <xf numFmtId="168" fontId="35" fillId="20" borderId="16" xfId="0" applyNumberFormat="1" applyFont="1" applyFill="1" applyBorder="1" applyAlignment="1" applyProtection="1">
      <alignment horizontal="right" vertical="center"/>
      <protection/>
    </xf>
    <xf numFmtId="168" fontId="35" fillId="20" borderId="18" xfId="0" applyNumberFormat="1" applyFont="1" applyFill="1" applyBorder="1" applyAlignment="1" applyProtection="1">
      <alignment horizontal="right" vertical="center"/>
      <protection/>
    </xf>
    <xf numFmtId="168" fontId="35" fillId="20" borderId="19" xfId="0" applyNumberFormat="1" applyFont="1" applyFill="1" applyBorder="1" applyAlignment="1" applyProtection="1">
      <alignment horizontal="right" vertical="center"/>
      <protection/>
    </xf>
    <xf numFmtId="168" fontId="35" fillId="0" borderId="20" xfId="0" applyNumberFormat="1" applyFont="1" applyBorder="1" applyAlignment="1" applyProtection="1">
      <alignment vertical="center"/>
      <protection/>
    </xf>
    <xf numFmtId="168" fontId="35" fillId="0" borderId="18" xfId="0" applyNumberFormat="1" applyFont="1" applyBorder="1" applyAlignment="1" applyProtection="1">
      <alignment vertical="center"/>
      <protection/>
    </xf>
    <xf numFmtId="168" fontId="35" fillId="0" borderId="19" xfId="0" applyNumberFormat="1" applyFont="1" applyBorder="1" applyAlignment="1" applyProtection="1">
      <alignment vertical="center"/>
      <protection/>
    </xf>
    <xf numFmtId="168" fontId="35" fillId="20" borderId="16" xfId="0" applyNumberFormat="1" applyFont="1" applyFill="1" applyBorder="1" applyAlignment="1" applyProtection="1">
      <alignment horizontal="right" vertical="center" wrapText="1"/>
      <protection/>
    </xf>
    <xf numFmtId="168" fontId="35" fillId="20" borderId="18" xfId="0" applyNumberFormat="1" applyFont="1" applyFill="1" applyBorder="1" applyAlignment="1" applyProtection="1">
      <alignment horizontal="right" vertical="center" wrapText="1"/>
      <protection/>
    </xf>
    <xf numFmtId="168" fontId="35" fillId="20" borderId="19" xfId="0" applyNumberFormat="1" applyFont="1" applyFill="1" applyBorder="1" applyAlignment="1" applyProtection="1">
      <alignment horizontal="right" vertical="center" wrapText="1"/>
      <protection/>
    </xf>
    <xf numFmtId="168" fontId="35" fillId="20" borderId="23" xfId="0" applyNumberFormat="1" applyFont="1" applyFill="1" applyBorder="1" applyAlignment="1" applyProtection="1">
      <alignment horizontal="right" vertical="center" wrapText="1"/>
      <protection/>
    </xf>
    <xf numFmtId="168" fontId="35" fillId="20" borderId="26" xfId="0" applyNumberFormat="1" applyFont="1" applyFill="1" applyBorder="1" applyAlignment="1" applyProtection="1">
      <alignment horizontal="right" vertical="center" wrapText="1"/>
      <protection/>
    </xf>
    <xf numFmtId="168" fontId="35" fillId="20" borderId="27" xfId="0" applyNumberFormat="1" applyFont="1" applyFill="1" applyBorder="1" applyAlignment="1" applyProtection="1">
      <alignment horizontal="right" vertical="center" wrapText="1"/>
      <protection/>
    </xf>
    <xf numFmtId="168" fontId="35" fillId="0" borderId="28" xfId="0" applyNumberFormat="1" applyFont="1" applyBorder="1" applyAlignment="1" applyProtection="1">
      <alignment vertical="center"/>
      <protection/>
    </xf>
    <xf numFmtId="168" fontId="35" fillId="0" borderId="26" xfId="0" applyNumberFormat="1" applyFont="1" applyBorder="1" applyAlignment="1" applyProtection="1">
      <alignment vertical="center"/>
      <protection/>
    </xf>
    <xf numFmtId="168" fontId="35" fillId="0" borderId="27" xfId="0" applyNumberFormat="1" applyFont="1" applyBorder="1" applyAlignment="1" applyProtection="1">
      <alignment vertical="center"/>
      <protection/>
    </xf>
    <xf numFmtId="168" fontId="36" fillId="20" borderId="11" xfId="0" applyNumberFormat="1" applyFont="1" applyFill="1" applyBorder="1" applyAlignment="1" applyProtection="1">
      <alignment vertical="center"/>
      <protection/>
    </xf>
    <xf numFmtId="168" fontId="36" fillId="20" borderId="13" xfId="0" applyNumberFormat="1" applyFont="1" applyFill="1" applyBorder="1" applyAlignment="1" applyProtection="1">
      <alignment vertical="center"/>
      <protection/>
    </xf>
    <xf numFmtId="168" fontId="36" fillId="20" borderId="14" xfId="0" applyNumberFormat="1" applyFont="1" applyFill="1" applyBorder="1" applyAlignment="1" applyProtection="1">
      <alignment vertical="center"/>
      <protection/>
    </xf>
    <xf numFmtId="168" fontId="35" fillId="20" borderId="16" xfId="0" applyNumberFormat="1" applyFont="1" applyFill="1" applyBorder="1" applyAlignment="1" applyProtection="1">
      <alignment vertical="center"/>
      <protection/>
    </xf>
    <xf numFmtId="168" fontId="35" fillId="20" borderId="18" xfId="0" applyNumberFormat="1" applyFont="1" applyFill="1" applyBorder="1" applyAlignment="1" applyProtection="1">
      <alignment vertical="center"/>
      <protection/>
    </xf>
    <xf numFmtId="168" fontId="35" fillId="20" borderId="19" xfId="0" applyNumberFormat="1" applyFont="1" applyFill="1" applyBorder="1" applyAlignment="1" applyProtection="1">
      <alignment vertical="center"/>
      <protection/>
    </xf>
    <xf numFmtId="168" fontId="35" fillId="20" borderId="23" xfId="0" applyNumberFormat="1" applyFont="1" applyFill="1" applyBorder="1" applyAlignment="1" applyProtection="1">
      <alignment vertical="center"/>
      <protection/>
    </xf>
    <xf numFmtId="168" fontId="35" fillId="20" borderId="26" xfId="0" applyNumberFormat="1" applyFont="1" applyFill="1" applyBorder="1" applyAlignment="1" applyProtection="1">
      <alignment vertical="center"/>
      <protection/>
    </xf>
    <xf numFmtId="168" fontId="35" fillId="20" borderId="27" xfId="0" applyNumberFormat="1" applyFont="1" applyFill="1" applyBorder="1" applyAlignment="1" applyProtection="1">
      <alignment vertical="center"/>
      <protection/>
    </xf>
    <xf numFmtId="168" fontId="36" fillId="20" borderId="16" xfId="0" applyNumberFormat="1" applyFont="1" applyFill="1" applyBorder="1" applyAlignment="1" applyProtection="1">
      <alignment vertical="center"/>
      <protection/>
    </xf>
    <xf numFmtId="168" fontId="36" fillId="20" borderId="18" xfId="0" applyNumberFormat="1" applyFont="1" applyFill="1" applyBorder="1" applyAlignment="1" applyProtection="1">
      <alignment vertical="center"/>
      <protection/>
    </xf>
    <xf numFmtId="168" fontId="36" fillId="20" borderId="19" xfId="0" applyNumberFormat="1" applyFont="1" applyFill="1" applyBorder="1" applyAlignment="1" applyProtection="1">
      <alignment vertical="center"/>
      <protection/>
    </xf>
    <xf numFmtId="168" fontId="36" fillId="0" borderId="20" xfId="0" applyNumberFormat="1" applyFont="1" applyBorder="1" applyAlignment="1" applyProtection="1">
      <alignment vertical="center"/>
      <protection/>
    </xf>
    <xf numFmtId="168" fontId="36" fillId="0" borderId="18" xfId="0" applyNumberFormat="1" applyFont="1" applyBorder="1" applyAlignment="1" applyProtection="1">
      <alignment vertical="center"/>
      <protection/>
    </xf>
    <xf numFmtId="168" fontId="36" fillId="0" borderId="19" xfId="0" applyNumberFormat="1" applyFont="1" applyBorder="1" applyAlignment="1" applyProtection="1">
      <alignment vertical="center"/>
      <protection/>
    </xf>
    <xf numFmtId="164" fontId="35" fillId="0" borderId="0" xfId="0" applyFont="1" applyAlignment="1" applyProtection="1">
      <alignment horizontal="left" indent="1"/>
      <protection locked="0"/>
    </xf>
    <xf numFmtId="164" fontId="35" fillId="0" borderId="0" xfId="0" applyFont="1" applyFill="1" applyAlignment="1" applyProtection="1">
      <alignment horizontal="left" indent="1"/>
      <protection/>
    </xf>
    <xf numFmtId="168" fontId="35" fillId="0" borderId="0" xfId="0" applyNumberFormat="1" applyFont="1" applyAlignment="1" applyProtection="1">
      <alignment/>
      <protection/>
    </xf>
    <xf numFmtId="164" fontId="36" fillId="0" borderId="0" xfId="0" applyFont="1" applyAlignment="1" applyProtection="1">
      <alignment/>
      <protection locked="0"/>
    </xf>
    <xf numFmtId="164" fontId="63" fillId="0" borderId="33" xfId="99" applyFont="1" applyFill="1" applyBorder="1" applyAlignment="1" applyProtection="1">
      <alignment vertical="center" wrapText="1"/>
      <protection locked="0"/>
    </xf>
    <xf numFmtId="171" fontId="63" fillId="20" borderId="11" xfId="99" applyNumberFormat="1" applyFont="1" applyFill="1" applyBorder="1" applyAlignment="1" applyProtection="1">
      <alignment horizontal="right" vertical="center" wrapText="1"/>
      <protection/>
    </xf>
    <xf numFmtId="171" fontId="63" fillId="20" borderId="13" xfId="99" applyNumberFormat="1" applyFont="1" applyFill="1" applyBorder="1" applyAlignment="1" applyProtection="1">
      <alignment horizontal="right" vertical="center" wrapText="1"/>
      <protection/>
    </xf>
    <xf numFmtId="171" fontId="63" fillId="20" borderId="14" xfId="99" applyNumberFormat="1" applyFont="1" applyFill="1" applyBorder="1" applyAlignment="1" applyProtection="1">
      <alignment horizontal="right" vertical="center" wrapText="1"/>
      <protection/>
    </xf>
    <xf numFmtId="171" fontId="63" fillId="0" borderId="15" xfId="19" applyNumberFormat="1" applyFont="1" applyFill="1" applyBorder="1" applyAlignment="1" applyProtection="1">
      <alignment horizontal="right" vertical="center" wrapText="1"/>
      <protection/>
    </xf>
    <xf numFmtId="171" fontId="63" fillId="0" borderId="13" xfId="19" applyNumberFormat="1" applyFont="1" applyFill="1" applyBorder="1" applyAlignment="1" applyProtection="1">
      <alignment horizontal="right" vertical="center" wrapText="1"/>
      <protection/>
    </xf>
    <xf numFmtId="171" fontId="63" fillId="0" borderId="14" xfId="19" applyNumberFormat="1" applyFont="1" applyFill="1" applyBorder="1" applyAlignment="1" applyProtection="1">
      <alignment horizontal="right" vertical="center" wrapText="1"/>
      <protection/>
    </xf>
    <xf numFmtId="164" fontId="64" fillId="0" borderId="35" xfId="99" applyFont="1" applyFill="1" applyBorder="1" applyAlignment="1" applyProtection="1">
      <alignment horizontal="left" vertical="center" wrapText="1" indent="1"/>
      <protection locked="0"/>
    </xf>
    <xf numFmtId="171" fontId="64" fillId="20" borderId="16" xfId="99" applyNumberFormat="1" applyFont="1" applyFill="1" applyBorder="1" applyAlignment="1" applyProtection="1">
      <alignment horizontal="right" vertical="center" wrapText="1"/>
      <protection/>
    </xf>
    <xf numFmtId="171" fontId="64" fillId="20" borderId="18" xfId="99" applyNumberFormat="1" applyFont="1" applyFill="1" applyBorder="1" applyAlignment="1" applyProtection="1">
      <alignment horizontal="right" vertical="center" wrapText="1"/>
      <protection/>
    </xf>
    <xf numFmtId="171" fontId="64" fillId="20" borderId="19" xfId="99" applyNumberFormat="1" applyFont="1" applyFill="1" applyBorder="1" applyAlignment="1" applyProtection="1">
      <alignment horizontal="right" vertical="center" wrapText="1"/>
      <protection/>
    </xf>
    <xf numFmtId="171" fontId="64" fillId="0" borderId="20" xfId="19" applyNumberFormat="1" applyFont="1" applyFill="1" applyBorder="1" applyAlignment="1" applyProtection="1">
      <alignment horizontal="right" vertical="center" wrapText="1"/>
      <protection/>
    </xf>
    <xf numFmtId="171" fontId="64" fillId="0" borderId="18" xfId="19" applyNumberFormat="1" applyFont="1" applyFill="1" applyBorder="1" applyAlignment="1" applyProtection="1">
      <alignment horizontal="right" vertical="center" wrapText="1"/>
      <protection/>
    </xf>
    <xf numFmtId="171" fontId="64" fillId="0" borderId="19" xfId="19" applyNumberFormat="1" applyFont="1" applyFill="1" applyBorder="1" applyAlignment="1" applyProtection="1">
      <alignment horizontal="right" vertical="center" wrapText="1"/>
      <protection/>
    </xf>
    <xf numFmtId="164" fontId="64" fillId="0" borderId="35" xfId="99" applyFont="1" applyFill="1" applyBorder="1" applyAlignment="1" applyProtection="1">
      <alignment horizontal="left" vertical="center" wrapText="1" indent="2"/>
      <protection locked="0"/>
    </xf>
    <xf numFmtId="171" fontId="63" fillId="20" borderId="16" xfId="99" applyNumberFormat="1" applyFont="1" applyFill="1" applyBorder="1" applyAlignment="1" applyProtection="1">
      <alignment horizontal="right" vertical="center" wrapText="1"/>
      <protection/>
    </xf>
    <xf numFmtId="171" fontId="63" fillId="20" borderId="18" xfId="99" applyNumberFormat="1" applyFont="1" applyFill="1" applyBorder="1" applyAlignment="1" applyProtection="1">
      <alignment horizontal="right" vertical="center" wrapText="1"/>
      <protection/>
    </xf>
    <xf numFmtId="171" fontId="63" fillId="20" borderId="19" xfId="99" applyNumberFormat="1" applyFont="1" applyFill="1" applyBorder="1" applyAlignment="1" applyProtection="1">
      <alignment horizontal="right" vertical="center" wrapText="1"/>
      <protection/>
    </xf>
    <xf numFmtId="164" fontId="64" fillId="0" borderId="35" xfId="99" applyNumberFormat="1" applyFont="1" applyFill="1" applyBorder="1" applyAlignment="1" applyProtection="1">
      <alignment horizontal="left" vertical="center" wrapText="1" indent="2"/>
      <protection locked="0"/>
    </xf>
    <xf numFmtId="164" fontId="64" fillId="0" borderId="34" xfId="99" applyFont="1" applyFill="1" applyBorder="1" applyAlignment="1" applyProtection="1">
      <alignment horizontal="left" vertical="center" wrapText="1" indent="2"/>
      <protection locked="0"/>
    </xf>
    <xf numFmtId="171" fontId="63" fillId="20" borderId="23" xfId="99" applyNumberFormat="1" applyFont="1" applyFill="1" applyBorder="1" applyAlignment="1" applyProtection="1">
      <alignment horizontal="right" vertical="center" wrapText="1"/>
      <protection/>
    </xf>
    <xf numFmtId="171" fontId="63" fillId="20" borderId="26" xfId="99" applyNumberFormat="1" applyFont="1" applyFill="1" applyBorder="1" applyAlignment="1" applyProtection="1">
      <alignment horizontal="right" vertical="center" wrapText="1"/>
      <protection/>
    </xf>
    <xf numFmtId="171" fontId="63" fillId="20" borderId="27" xfId="99" applyNumberFormat="1" applyFont="1" applyFill="1" applyBorder="1" applyAlignment="1" applyProtection="1">
      <alignment horizontal="right" vertical="center" wrapText="1"/>
      <protection/>
    </xf>
    <xf numFmtId="171" fontId="64" fillId="0" borderId="28" xfId="19" applyNumberFormat="1" applyFont="1" applyFill="1" applyBorder="1" applyAlignment="1" applyProtection="1">
      <alignment horizontal="right" vertical="center" wrapText="1"/>
      <protection/>
    </xf>
    <xf numFmtId="171" fontId="64" fillId="0" borderId="26" xfId="19" applyNumberFormat="1" applyFont="1" applyFill="1" applyBorder="1" applyAlignment="1" applyProtection="1">
      <alignment horizontal="right" vertical="center" wrapText="1"/>
      <protection/>
    </xf>
    <xf numFmtId="171" fontId="64" fillId="0" borderId="27" xfId="19" applyNumberFormat="1" applyFont="1" applyFill="1" applyBorder="1" applyAlignment="1" applyProtection="1">
      <alignment horizontal="right" vertical="center" wrapText="1"/>
      <protection/>
    </xf>
    <xf numFmtId="164" fontId="64" fillId="0" borderId="35" xfId="99" applyFont="1" applyFill="1" applyBorder="1" applyAlignment="1" applyProtection="1">
      <alignment horizontal="left" vertical="center" wrapText="1" indent="3"/>
      <protection locked="0"/>
    </xf>
    <xf numFmtId="171" fontId="64" fillId="20" borderId="18" xfId="19" applyNumberFormat="1" applyFont="1" applyFill="1" applyBorder="1" applyAlignment="1" applyProtection="1">
      <alignment horizontal="right" vertical="center" wrapText="1"/>
      <protection/>
    </xf>
    <xf numFmtId="171" fontId="64" fillId="20" borderId="23" xfId="99" applyNumberFormat="1" applyFont="1" applyFill="1" applyBorder="1" applyAlignment="1" applyProtection="1">
      <alignment horizontal="right" vertical="center" wrapText="1"/>
      <protection/>
    </xf>
    <xf numFmtId="171" fontId="64" fillId="20" borderId="26" xfId="99" applyNumberFormat="1" applyFont="1" applyFill="1" applyBorder="1" applyAlignment="1" applyProtection="1">
      <alignment horizontal="right" vertical="center" wrapText="1"/>
      <protection/>
    </xf>
    <xf numFmtId="171" fontId="64" fillId="20" borderId="27" xfId="99" applyNumberFormat="1" applyFont="1" applyFill="1" applyBorder="1" applyAlignment="1" applyProtection="1">
      <alignment horizontal="right" vertical="center" wrapText="1"/>
      <protection/>
    </xf>
    <xf numFmtId="164" fontId="63" fillId="0" borderId="40" xfId="99" applyFont="1" applyFill="1" applyBorder="1" applyAlignment="1" applyProtection="1">
      <alignment vertical="center" wrapText="1"/>
      <protection locked="0"/>
    </xf>
    <xf numFmtId="164" fontId="63" fillId="0" borderId="0" xfId="99" applyFont="1" applyFill="1" applyBorder="1" applyAlignment="1" applyProtection="1">
      <alignment vertical="center" wrapText="1"/>
      <protection/>
    </xf>
    <xf numFmtId="164" fontId="64" fillId="0" borderId="0" xfId="0" applyFont="1" applyBorder="1" applyAlignment="1" applyProtection="1">
      <alignment horizontal="center" vertical="center"/>
      <protection/>
    </xf>
    <xf numFmtId="164" fontId="64" fillId="0" borderId="0" xfId="0" applyFont="1" applyBorder="1" applyAlignment="1" applyProtection="1">
      <alignment/>
      <protection/>
    </xf>
    <xf numFmtId="164" fontId="64" fillId="0" borderId="33" xfId="99" applyFont="1" applyFill="1" applyBorder="1" applyAlignment="1" applyProtection="1">
      <alignment horizontal="left" vertical="center" wrapText="1" indent="1"/>
      <protection locked="0"/>
    </xf>
    <xf numFmtId="171" fontId="64" fillId="20" borderId="11" xfId="99" applyNumberFormat="1" applyFont="1" applyFill="1" applyBorder="1" applyAlignment="1" applyProtection="1">
      <alignment horizontal="right" vertical="center" wrapText="1"/>
      <protection/>
    </xf>
    <xf numFmtId="171" fontId="64" fillId="20" borderId="13" xfId="99" applyNumberFormat="1" applyFont="1" applyFill="1" applyBorder="1" applyAlignment="1" applyProtection="1">
      <alignment horizontal="right" vertical="center" wrapText="1"/>
      <protection/>
    </xf>
    <xf numFmtId="171" fontId="64" fillId="20" borderId="14" xfId="99" applyNumberFormat="1" applyFont="1" applyFill="1" applyBorder="1" applyAlignment="1" applyProtection="1">
      <alignment horizontal="right" vertical="center" wrapText="1"/>
      <protection/>
    </xf>
    <xf numFmtId="171" fontId="64" fillId="0" borderId="15" xfId="19" applyNumberFormat="1" applyFont="1" applyFill="1" applyBorder="1" applyAlignment="1" applyProtection="1">
      <alignment horizontal="right" vertical="center" wrapText="1"/>
      <protection/>
    </xf>
    <xf numFmtId="171" fontId="64" fillId="0" borderId="13" xfId="19" applyNumberFormat="1" applyFont="1" applyFill="1" applyBorder="1" applyAlignment="1" applyProtection="1">
      <alignment horizontal="right" vertical="center" wrapText="1"/>
      <protection/>
    </xf>
    <xf numFmtId="171" fontId="64" fillId="0" borderId="14" xfId="19" applyNumberFormat="1" applyFont="1" applyFill="1" applyBorder="1" applyAlignment="1" applyProtection="1">
      <alignment horizontal="right" vertical="center" wrapText="1"/>
      <protection/>
    </xf>
    <xf numFmtId="164" fontId="64" fillId="0" borderId="34" xfId="99" applyFont="1" applyFill="1" applyBorder="1" applyAlignment="1" applyProtection="1">
      <alignment horizontal="left" vertical="center" wrapText="1" indent="1"/>
      <protection locked="0"/>
    </xf>
    <xf numFmtId="164" fontId="44" fillId="0" borderId="0" xfId="0" applyFont="1" applyAlignment="1">
      <alignment horizontal="center" vertical="center"/>
    </xf>
    <xf numFmtId="164" fontId="44" fillId="0" borderId="0" xfId="0" applyFont="1" applyAlignment="1">
      <alignment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0" fillId="0" borderId="0" xfId="0" applyAlignment="1">
      <alignment/>
    </xf>
    <xf numFmtId="164" fontId="36" fillId="0" borderId="44" xfId="0" applyNumberFormat="1" applyFont="1" applyBorder="1" applyAlignment="1">
      <alignment horizontal="center" vertical="center"/>
    </xf>
    <xf numFmtId="164" fontId="36" fillId="0" borderId="44" xfId="0" applyFont="1" applyBorder="1" applyAlignment="1">
      <alignment horizontal="center" vertical="center"/>
    </xf>
    <xf numFmtId="175" fontId="44" fillId="0" borderId="0" xfId="0" applyNumberFormat="1" applyFont="1" applyAlignment="1">
      <alignment vertical="center"/>
    </xf>
    <xf numFmtId="166" fontId="44" fillId="0" borderId="0" xfId="0" applyNumberFormat="1" applyFont="1" applyAlignment="1">
      <alignment vertical="center"/>
    </xf>
    <xf numFmtId="164" fontId="44" fillId="0" borderId="0" xfId="0" applyFont="1" applyAlignment="1">
      <alignment vertical="center"/>
    </xf>
    <xf numFmtId="164" fontId="44" fillId="0" borderId="0" xfId="0" applyNumberFormat="1" applyFont="1" applyAlignment="1">
      <alignment vertical="center"/>
    </xf>
    <xf numFmtId="167" fontId="44" fillId="0" borderId="0" xfId="0" applyNumberFormat="1" applyFont="1" applyAlignment="1">
      <alignment horizontal="center" vertical="center"/>
    </xf>
    <xf numFmtId="168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vertical="center"/>
    </xf>
  </cellXfs>
  <cellStyles count="10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Obliczenia 2" xfId="103"/>
    <cellStyle name="Obliczenia 3" xfId="104"/>
    <cellStyle name="Procentowy 2" xfId="105"/>
    <cellStyle name="Procentowy 2 2" xfId="106"/>
    <cellStyle name="Procentowy 2 3" xfId="107"/>
    <cellStyle name="Procentowy 3" xfId="108"/>
    <cellStyle name="Procentowy 3 2" xfId="109"/>
    <cellStyle name="Procentowy 4" xfId="110"/>
    <cellStyle name="Procentowy 5" xfId="111"/>
    <cellStyle name="Suma 2" xfId="112"/>
    <cellStyle name="Suma 3" xfId="113"/>
    <cellStyle name="Tekst objaśnienia 2" xfId="114"/>
    <cellStyle name="Tekst objaśnienia 3" xfId="115"/>
    <cellStyle name="Tekst ostrzeżenia 2" xfId="116"/>
    <cellStyle name="Tekst ostrzeżenia 3" xfId="117"/>
    <cellStyle name="Tytuł 2" xfId="118"/>
    <cellStyle name="Uwaga 2" xfId="119"/>
    <cellStyle name="Uwaga 3" xfId="120"/>
    <cellStyle name="Złe 2" xfId="121"/>
    <cellStyle name="Złe 3" xfId="122"/>
  </cellStyles>
  <dxfs count="11"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border/>
    </dxf>
    <dxf>
      <font>
        <b val="0"/>
        <sz val="11"/>
        <color rgb="FF0000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CCCCFF"/>
          <bgColor rgb="FF99CCFF"/>
        </patternFill>
      </fill>
      <border/>
    </dxf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7"/>
          <c:w val="0.949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'Zał.1_WPF_bazowy'!$J$11:$S$11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'Zał.1_WPF_bazowy'!$D$12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'Zał.1_WPF_bazowy'!$J$12:$S$12</c:f>
              <c:numCache/>
            </c:numRef>
          </c:val>
          <c:smooth val="0"/>
        </c:ser>
        <c:marker val="1"/>
        <c:axId val="31768952"/>
        <c:axId val="17485113"/>
      </c:lineChart>
      <c:catAx>
        <c:axId val="31768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85113"/>
        <c:crossesAt val="0"/>
        <c:auto val="1"/>
        <c:lblOffset val="100"/>
        <c:noMultiLvlLbl val="0"/>
      </c:catAx>
      <c:valAx>
        <c:axId val="17485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6895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725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36775"/>
          <c:w val="0.95125"/>
          <c:h val="0.632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'Zał.1_WPF_bazowy'!$B$37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'Zał.1_WPF_bazowy'!$J$37:$S$37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'Zał.1_WPF_bazowy'!$C$33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'Zał.1_WPF_bazowy'!$J$33:$S$33</c:f>
              <c:numCache/>
            </c:numRef>
          </c:val>
          <c:smooth val="0"/>
        </c:ser>
        <c:ser>
          <c:idx val="2"/>
          <c:order val="2"/>
          <c:tx>
            <c:strRef>
              <c:f>'Zał.1_WPF_bazowy'!$D$19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'Zał.1_WPF_bazowy'!$J$19:$S$19</c:f>
              <c:numCache/>
            </c:numRef>
          </c:val>
          <c:smooth val="0"/>
        </c:ser>
        <c:marker val="1"/>
        <c:axId val="63896530"/>
        <c:axId val="38197859"/>
      </c:lineChart>
      <c:catAx>
        <c:axId val="6389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97859"/>
        <c:crossesAt val="0"/>
        <c:auto val="1"/>
        <c:lblOffset val="100"/>
        <c:noMultiLvlLbl val="0"/>
      </c:catAx>
      <c:valAx>
        <c:axId val="38197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9653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15"/>
          <c:y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6625"/>
          <c:w val="0.96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'Zał.1_WPF_bazowy'!$C$40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'Zał.1_WPF_bazowy'!$J$40:$S$40</c:f>
              <c:numCache/>
            </c:numRef>
          </c:val>
          <c:smooth val="0"/>
        </c:ser>
        <c:marker val="1"/>
        <c:axId val="8236412"/>
        <c:axId val="7018845"/>
      </c:lineChart>
      <c:catAx>
        <c:axId val="823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18845"/>
        <c:crossesAt val="0"/>
        <c:auto val="1"/>
        <c:lblOffset val="100"/>
        <c:noMultiLvlLbl val="0"/>
      </c:catAx>
      <c:valAx>
        <c:axId val="7018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3641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675"/>
          <c:w val="0.9512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/>
            </c:strRef>
          </c:cat>
          <c:val>
            <c:numRef>
              <c:f>('Zał.1_WPF_bazowy'!$F$4:$G$4,'Zał.1_WPF_bazowy'!$I$4:$S$4)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/>
            </c:strRef>
          </c:cat>
          <c:val>
            <c:numRef>
              <c:f>('Zał.1_WPF_bazowy'!$F$15:$G$15,'Zał.1_WPF_bazowy'!$I$15:$S$15)</c:f>
              <c:numCache/>
            </c:numRef>
          </c:val>
          <c:smooth val="0"/>
        </c:ser>
        <c:marker val="1"/>
        <c:axId val="63169606"/>
        <c:axId val="31655543"/>
      </c:lineChart>
      <c:catAx>
        <c:axId val="6316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55543"/>
        <c:crossesAt val="0"/>
        <c:auto val="1"/>
        <c:lblOffset val="100"/>
        <c:noMultiLvlLbl val="0"/>
      </c:catAx>
      <c:valAx>
        <c:axId val="31655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6960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125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341"/>
          <c:w val="0.96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'Zał.1_WPF_bazowy'!$J$54:$S$54</c:f>
              <c:numCache/>
            </c:numRef>
          </c:val>
          <c:smooth val="0"/>
        </c:ser>
        <c:ser>
          <c:idx val="1"/>
          <c:order val="1"/>
          <c:tx>
            <c:strRef>
              <c:f>'Zał.1_WPF_bazowy'!$B$52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'Zał.1_WPF_bazowy'!$J$52:$S$52</c:f>
              <c:numCache/>
            </c:numRef>
          </c:val>
          <c:smooth val="0"/>
        </c:ser>
        <c:marker val="1"/>
        <c:axId val="16464432"/>
        <c:axId val="13962161"/>
      </c:lineChart>
      <c:catAx>
        <c:axId val="164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62161"/>
        <c:crossesAt val="0"/>
        <c:auto val="1"/>
        <c:lblOffset val="100"/>
        <c:noMultiLvlLbl val="0"/>
      </c:catAx>
      <c:valAx>
        <c:axId val="13962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6443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341"/>
          <c:w val="0.96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'Zał.1_WPF_bazowy'!$J$55:$S$55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'Zał.1_WPF_bazowy'!$C$49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'Zał.1_WPF_bazowy'!$J$49:$S$49</c:f>
              <c:numCache/>
            </c:numRef>
          </c:val>
          <c:smooth val="0"/>
        </c:ser>
        <c:marker val="1"/>
        <c:axId val="58550586"/>
        <c:axId val="57193227"/>
      </c:lineChart>
      <c:catAx>
        <c:axId val="5855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93227"/>
        <c:crossesAt val="0"/>
        <c:auto val="1"/>
        <c:lblOffset val="100"/>
        <c:noMultiLvlLbl val="0"/>
      </c:catAx>
      <c:valAx>
        <c:axId val="57193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5058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341"/>
          <c:w val="0.96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'Zał.1_WPF_bazowy'!$J$55:$S$55</c:f>
              <c:numCache/>
            </c:numRef>
          </c:val>
          <c:smooth val="0"/>
        </c:ser>
        <c:ser>
          <c:idx val="1"/>
          <c:order val="1"/>
          <c:tx>
            <c:strRef>
              <c:f>'Zał.1_WPF_bazowy'!$B$52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'Zał.1_WPF_bazowy'!$J$52:$S$52</c:f>
              <c:numCache/>
            </c:numRef>
          </c:val>
          <c:smooth val="0"/>
        </c:ser>
        <c:marker val="1"/>
        <c:axId val="44976996"/>
        <c:axId val="2139781"/>
      </c:lineChart>
      <c:catAx>
        <c:axId val="4497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9781"/>
        <c:crossesAt val="0"/>
        <c:auto val="1"/>
        <c:lblOffset val="100"/>
        <c:noMultiLvlLbl val="0"/>
      </c:catAx>
      <c:valAx>
        <c:axId val="2139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7699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2165"/>
          <c:w val="0.96"/>
          <c:h val="0.783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'Zał.1_WPF_bazowy'!$B$48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'Zał.1_WPF_bazowy'!$J$48:$S$48</c:f>
              <c:numCache/>
            </c:numRef>
          </c:val>
          <c:smooth val="0"/>
        </c:ser>
        <c:marker val="1"/>
        <c:axId val="19258030"/>
        <c:axId val="39104543"/>
      </c:lineChart>
      <c:catAx>
        <c:axId val="1925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04543"/>
        <c:crossesAt val="0"/>
        <c:auto val="1"/>
        <c:lblOffset val="100"/>
        <c:noMultiLvlLbl val="0"/>
      </c:catAx>
      <c:valAx>
        <c:axId val="39104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5803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675"/>
          <c:w val="0.951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'Zał.1_WPF_bazowy'!$J$4:$S$4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'Zał.1_WPF_bazowy'!$J$11:$S$11</c:f>
              <c:numCache/>
            </c:numRef>
          </c:val>
        </c:ser>
        <c:overlap val="100"/>
        <c:axId val="23148290"/>
        <c:axId val="7008019"/>
      </c:barChart>
      <c:catAx>
        <c:axId val="2314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08019"/>
        <c:crossesAt val="0"/>
        <c:auto val="1"/>
        <c:lblOffset val="100"/>
        <c:noMultiLvlLbl val="0"/>
      </c:catAx>
      <c:valAx>
        <c:axId val="7008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4829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3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7"/>
          <c:w val="0.9512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'Zał.1_WPF_bazowy'!$J$15:$S$15</c:f>
              <c:numCache/>
            </c:numRef>
          </c:val>
        </c:ser>
        <c:ser>
          <c:idx val="1"/>
          <c:order val="1"/>
          <c:tx>
            <c:strRef>
              <c:f>'Zał.1_WPF_bazowy'!$C$21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'Zał.1_WPF_bazowy'!$J$21:$S$21</c:f>
              <c:numCache/>
            </c:numRef>
          </c:val>
        </c:ser>
        <c:overlap val="100"/>
        <c:axId val="63072172"/>
        <c:axId val="30778637"/>
      </c:barChart>
      <c:catAx>
        <c:axId val="630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78637"/>
        <c:crossesAt val="0"/>
        <c:auto val="1"/>
        <c:lblOffset val="100"/>
        <c:noMultiLvlLbl val="0"/>
      </c:catAx>
      <c:valAx>
        <c:axId val="307786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7217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825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37"/>
          <c:w val="0.951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'Zał.1_WPF_bazowy'!$J$61:$S$61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'Zał.1_WPF_bazowy'!$J$62:$S$62</c:f>
              <c:numCache/>
            </c:numRef>
          </c:val>
          <c:smooth val="0"/>
        </c:ser>
        <c:marker val="1"/>
        <c:axId val="8572278"/>
        <c:axId val="10041639"/>
      </c:lineChart>
      <c:catAx>
        <c:axId val="857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41639"/>
        <c:crossesAt val="0"/>
        <c:auto val="1"/>
        <c:lblOffset val="100"/>
        <c:noMultiLvlLbl val="0"/>
      </c:catAx>
      <c:valAx>
        <c:axId val="10041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7227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725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0.055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24"/>
          <c:w val="0.949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'Zał.1_WPF_bazowy'!$J$64:$S$64</c:f>
              <c:numCache/>
            </c:numRef>
          </c:val>
          <c:smooth val="0"/>
        </c:ser>
        <c:ser>
          <c:idx val="1"/>
          <c:order val="1"/>
          <c:tx>
            <c:strRef>
              <c:f>'Zał.1_WPF_bazowy'!$D$65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'Zał.1_WPF_bazowy'!$J$65:$S$65</c:f>
              <c:numCache/>
            </c:numRef>
          </c:val>
          <c:smooth val="0"/>
        </c:ser>
        <c:marker val="1"/>
        <c:axId val="23265888"/>
        <c:axId val="8066401"/>
      </c:lineChart>
      <c:catAx>
        <c:axId val="23265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66401"/>
        <c:crossesAt val="0"/>
        <c:auto val="1"/>
        <c:lblOffset val="100"/>
        <c:noMultiLvlLbl val="0"/>
      </c:catAx>
      <c:valAx>
        <c:axId val="8066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6588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301"/>
          <c:y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36775"/>
          <c:w val="0.95125"/>
          <c:h val="0.6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'Zał.1_WPF_bazowy'!$C$33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'Zał.1_WPF_bazowy'!$J$33:$S$33</c:f>
              <c:numCache/>
            </c:numRef>
          </c:val>
        </c:ser>
        <c:ser>
          <c:idx val="1"/>
          <c:order val="1"/>
          <c:tx>
            <c:strRef>
              <c:f>'Zał.1_WPF_bazowy'!$C$21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'Zał.1_WPF_bazowy'!$J$21:$S$21</c:f>
              <c:numCache/>
            </c:numRef>
          </c:val>
        </c:ser>
        <c:overlap val="100"/>
        <c:axId val="5488746"/>
        <c:axId val="49398715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'Zał.1_WPF_bazowy'!$J$44:$S$44</c:f>
              <c:numCache/>
            </c:numRef>
          </c:val>
          <c:smooth val="0"/>
        </c:ser>
        <c:axId val="5488746"/>
        <c:axId val="49398715"/>
      </c:lineChart>
      <c:catAx>
        <c:axId val="548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98715"/>
        <c:crossesAt val="0"/>
        <c:auto val="1"/>
        <c:lblOffset val="100"/>
        <c:noMultiLvlLbl val="0"/>
      </c:catAx>
      <c:valAx>
        <c:axId val="49398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874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15"/>
          <c:y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6625"/>
          <c:w val="0.96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'Zał.1_WPF_bazowy'!$J$40:$S$40</c:f>
              <c:numCache/>
            </c:numRef>
          </c:val>
          <c:smooth val="0"/>
        </c:ser>
        <c:marker val="1"/>
        <c:axId val="41935252"/>
        <c:axId val="41872949"/>
      </c:lineChart>
      <c:catAx>
        <c:axId val="4193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72949"/>
        <c:crossesAt val="0"/>
        <c:auto val="1"/>
        <c:lblOffset val="100"/>
        <c:noMultiLvlLbl val="0"/>
      </c:catAx>
      <c:valAx>
        <c:axId val="41872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3525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925"/>
          <c:y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2165"/>
          <c:w val="0.96"/>
          <c:h val="0.783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'Zał.1_WPF_bazowy'!$J$47:$S$47</c:f>
              <c:numCache/>
            </c:numRef>
          </c:val>
          <c:smooth val="0"/>
        </c:ser>
        <c:marker val="1"/>
        <c:axId val="41312222"/>
        <c:axId val="36265679"/>
      </c:lineChart>
      <c:catAx>
        <c:axId val="4131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65679"/>
        <c:crossesAt val="0"/>
        <c:auto val="1"/>
        <c:lblOffset val="100"/>
        <c:noMultiLvlLbl val="0"/>
      </c:catAx>
      <c:valAx>
        <c:axId val="36265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1222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341"/>
          <c:w val="0.96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'Zał.1_WPF_bazowy'!$J$54:$S$54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'Zał.1_WPF_bazowy'!$C$49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'Zał.1_WPF_bazowy'!$J$49:$S$49</c:f>
              <c:numCache/>
            </c:numRef>
          </c:val>
          <c:smooth val="0"/>
        </c:ser>
        <c:marker val="1"/>
        <c:axId val="57955656"/>
        <c:axId val="51838857"/>
      </c:lineChart>
      <c:catAx>
        <c:axId val="5795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38857"/>
        <c:crossesAt val="0"/>
        <c:auto val="1"/>
        <c:lblOffset val="100"/>
        <c:noMultiLvlLbl val="0"/>
      </c:catAx>
      <c:valAx>
        <c:axId val="51838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5565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143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42900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38500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19450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29350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096375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Chart 7"/>
        <xdr:cNvGraphicFramePr/>
      </xdr:nvGraphicFramePr>
      <xdr:xfrm>
        <a:off x="9525" y="14878050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Chart 8"/>
        <xdr:cNvGraphicFramePr/>
      </xdr:nvGraphicFramePr>
      <xdr:xfrm>
        <a:off x="9525" y="11991975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Chart 9"/>
        <xdr:cNvGraphicFramePr/>
      </xdr:nvGraphicFramePr>
      <xdr:xfrm>
        <a:off x="9525" y="1793557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Chart 10"/>
        <xdr:cNvGraphicFramePr/>
      </xdr:nvGraphicFramePr>
      <xdr:xfrm>
        <a:off x="9525" y="9115425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Chart 11"/>
        <xdr:cNvGraphicFramePr/>
      </xdr:nvGraphicFramePr>
      <xdr:xfrm>
        <a:off x="6000750" y="14859000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Chart 12"/>
        <xdr:cNvGraphicFramePr/>
      </xdr:nvGraphicFramePr>
      <xdr:xfrm>
        <a:off x="38100" y="6238875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Chart 13"/>
        <xdr:cNvGraphicFramePr/>
      </xdr:nvGraphicFramePr>
      <xdr:xfrm>
        <a:off x="6029325" y="1794510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Chart 14"/>
        <xdr:cNvGraphicFramePr/>
      </xdr:nvGraphicFramePr>
      <xdr:xfrm>
        <a:off x="0" y="21031200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Chart 15"/>
        <xdr:cNvGraphicFramePr/>
      </xdr:nvGraphicFramePr>
      <xdr:xfrm>
        <a:off x="6019800" y="21050250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Chart 16"/>
        <xdr:cNvGraphicFramePr/>
      </xdr:nvGraphicFramePr>
      <xdr:xfrm>
        <a:off x="6029325" y="11982450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T246"/>
  <sheetViews>
    <sheetView tabSelected="1" zoomScale="90" zoomScaleNormal="90" zoomScaleSheetLayoutView="100" workbookViewId="0" topLeftCell="A1">
      <pane xSplit="5" ySplit="2" topLeftCell="M78" activePane="bottomRight" state="frozen"/>
      <selection pane="topLeft" activeCell="A1" sqref="A1"/>
      <selection pane="topRight" activeCell="M1" sqref="M1"/>
      <selection pane="bottomLeft" activeCell="A78" sqref="A78"/>
      <selection pane="bottomRight" activeCell="P1" sqref="P1"/>
    </sheetView>
  </sheetViews>
  <sheetFormatPr defaultColWidth="8.796875" defaultRowHeight="14.25" outlineLevelRow="3" outlineLevelCol="1"/>
  <cols>
    <col min="1" max="1" width="5.796875" style="1" customWidth="1"/>
    <col min="2" max="4" width="1.796875" style="1" customWidth="1"/>
    <col min="5" max="5" width="42.3984375" style="1" customWidth="1"/>
    <col min="6" max="6" width="10.296875" style="1" customWidth="1" outlineLevel="1"/>
    <col min="7" max="7" width="9.09765625" style="1" customWidth="1" outlineLevel="1"/>
    <col min="8" max="8" width="10" style="1" customWidth="1" outlineLevel="1"/>
    <col min="9" max="9" width="9" style="1" customWidth="1" outlineLevel="1"/>
    <col min="10" max="10" width="9.796875" style="1" customWidth="1"/>
    <col min="11" max="12" width="9.59765625" style="1" customWidth="1"/>
    <col min="13" max="13" width="9.296875" style="1" customWidth="1"/>
    <col min="14" max="14" width="10" style="1" customWidth="1"/>
    <col min="15" max="15" width="9.5" style="1" customWidth="1"/>
    <col min="16" max="17" width="10.09765625" style="1" customWidth="1"/>
    <col min="18" max="18" width="9.3984375" style="1" customWidth="1"/>
    <col min="19" max="19" width="9.8984375" style="1" customWidth="1"/>
  </cols>
  <sheetData>
    <row r="1" spans="1:20" ht="28.5" customHeight="1">
      <c r="A1" s="2" t="s">
        <v>0</v>
      </c>
      <c r="B1" s="2"/>
      <c r="C1" s="2"/>
      <c r="D1" s="2"/>
      <c r="E1" s="2"/>
      <c r="F1" s="3" t="s">
        <v>1</v>
      </c>
      <c r="G1" s="3"/>
      <c r="H1" s="3" t="s">
        <v>2</v>
      </c>
      <c r="I1" s="3" t="s">
        <v>1</v>
      </c>
      <c r="J1" s="4">
        <f>""</f>
      </c>
      <c r="K1" s="5"/>
      <c r="P1" s="6" t="s">
        <v>3</v>
      </c>
      <c r="Q1" s="6"/>
      <c r="R1" s="6"/>
      <c r="S1" s="6"/>
      <c r="T1" s="7"/>
    </row>
    <row r="2" spans="1:20" ht="12.75">
      <c r="A2" s="8" t="s">
        <v>4</v>
      </c>
      <c r="B2" s="9" t="s">
        <v>5</v>
      </c>
      <c r="C2" s="9"/>
      <c r="D2" s="9"/>
      <c r="E2" s="9"/>
      <c r="F2" s="10" t="s">
        <v>6</v>
      </c>
      <c r="G2" s="11" t="s">
        <v>7</v>
      </c>
      <c r="H2" s="11" t="s">
        <v>8</v>
      </c>
      <c r="I2" s="12" t="s">
        <v>8</v>
      </c>
      <c r="J2" s="13">
        <f>+definicja!E9</f>
        <v>2013</v>
      </c>
      <c r="K2" s="14">
        <f>+definicja!F9</f>
        <v>2014</v>
      </c>
      <c r="L2" s="14">
        <f>+definicja!G9</f>
        <v>2015</v>
      </c>
      <c r="M2" s="14">
        <f>+definicja!H9</f>
        <v>2016</v>
      </c>
      <c r="N2" s="14">
        <f>+definicja!I9</f>
        <v>2017</v>
      </c>
      <c r="O2" s="14">
        <f>+definicja!J9</f>
        <v>2018</v>
      </c>
      <c r="P2" s="14">
        <f>+definicja!K9</f>
        <v>2019</v>
      </c>
      <c r="Q2" s="14">
        <f>+definicja!L9</f>
        <v>2020</v>
      </c>
      <c r="R2" s="14">
        <f>+definicja!M9</f>
        <v>2021</v>
      </c>
      <c r="S2" s="14">
        <f>+definicja!N9</f>
        <v>2022</v>
      </c>
      <c r="T2" s="15"/>
    </row>
    <row r="3" spans="1:20" ht="15" customHeight="1" outlineLevel="1">
      <c r="A3" s="16">
        <v>1</v>
      </c>
      <c r="B3" s="17" t="s">
        <v>9</v>
      </c>
      <c r="C3" s="17"/>
      <c r="D3" s="17"/>
      <c r="E3" s="17"/>
      <c r="F3" s="18">
        <f>31484876.01</f>
        <v>31484876.01</v>
      </c>
      <c r="G3" s="19">
        <f>31063442.33</f>
        <v>31063442.33</v>
      </c>
      <c r="H3" s="19">
        <f>35624119.93</f>
        <v>35624119.93</v>
      </c>
      <c r="I3" s="20">
        <f>34438420.27</f>
        <v>34438420.27</v>
      </c>
      <c r="J3" s="21">
        <f>31943451.22</f>
        <v>31943451.22</v>
      </c>
      <c r="K3" s="22">
        <f>30722594.71</f>
        <v>30722594.71</v>
      </c>
      <c r="L3" s="22">
        <f>31000000</f>
        <v>31000000</v>
      </c>
      <c r="M3" s="22">
        <f>31500000</f>
        <v>31500000</v>
      </c>
      <c r="N3" s="22">
        <f>32000000</f>
        <v>32000000</v>
      </c>
      <c r="O3" s="22">
        <f>32500000</f>
        <v>32500000</v>
      </c>
      <c r="P3" s="22">
        <f>33000000</f>
        <v>33000000</v>
      </c>
      <c r="Q3" s="22">
        <f>33500000</f>
        <v>33500000</v>
      </c>
      <c r="R3" s="22">
        <f>34000000</f>
        <v>34000000</v>
      </c>
      <c r="S3" s="22">
        <f>34500000</f>
        <v>34500000</v>
      </c>
      <c r="T3" s="23"/>
    </row>
    <row r="4" spans="1:19" ht="15" customHeight="1" outlineLevel="2">
      <c r="A4" s="24" t="s">
        <v>10</v>
      </c>
      <c r="B4" s="25"/>
      <c r="C4" s="26" t="s">
        <v>11</v>
      </c>
      <c r="D4" s="26"/>
      <c r="E4" s="26"/>
      <c r="F4" s="27">
        <f>25893786.18</f>
        <v>25893786.18</v>
      </c>
      <c r="G4" s="28">
        <f>28412491.19</f>
        <v>28412491.19</v>
      </c>
      <c r="H4" s="28">
        <f>29915724.45</f>
        <v>29915724.45</v>
      </c>
      <c r="I4" s="29">
        <f>29417886.46</f>
        <v>29417886.46</v>
      </c>
      <c r="J4" s="30">
        <f>31028455.51</f>
        <v>31028455.51</v>
      </c>
      <c r="K4" s="31">
        <f>30722594.71</f>
        <v>30722594.71</v>
      </c>
      <c r="L4" s="31">
        <f>31000000</f>
        <v>31000000</v>
      </c>
      <c r="M4" s="31">
        <f>31500000</f>
        <v>31500000</v>
      </c>
      <c r="N4" s="31">
        <f>32000000</f>
        <v>32000000</v>
      </c>
      <c r="O4" s="31">
        <f>32500000</f>
        <v>32500000</v>
      </c>
      <c r="P4" s="31">
        <f>33000000</f>
        <v>33000000</v>
      </c>
      <c r="Q4" s="31">
        <f>33500000</f>
        <v>33500000</v>
      </c>
      <c r="R4" s="31">
        <f>34000000</f>
        <v>34000000</v>
      </c>
      <c r="S4" s="31">
        <f>34500000</f>
        <v>34500000</v>
      </c>
    </row>
    <row r="5" spans="1:19" ht="24" customHeight="1" outlineLevel="2">
      <c r="A5" s="24" t="s">
        <v>12</v>
      </c>
      <c r="B5" s="25"/>
      <c r="C5" s="32"/>
      <c r="D5" s="26" t="s">
        <v>13</v>
      </c>
      <c r="E5" s="26"/>
      <c r="F5" s="27">
        <f>0</f>
        <v>0</v>
      </c>
      <c r="G5" s="28">
        <f>0</f>
        <v>0</v>
      </c>
      <c r="H5" s="28">
        <f>0</f>
        <v>0</v>
      </c>
      <c r="I5" s="29">
        <f>0</f>
        <v>0</v>
      </c>
      <c r="J5" s="30">
        <f>6700000</f>
        <v>6700000</v>
      </c>
      <c r="K5" s="31">
        <f>0</f>
        <v>0</v>
      </c>
      <c r="L5" s="31">
        <f>0</f>
        <v>0</v>
      </c>
      <c r="M5" s="31">
        <f>0</f>
        <v>0</v>
      </c>
      <c r="N5" s="31">
        <f>0</f>
        <v>0</v>
      </c>
      <c r="O5" s="31">
        <f>0</f>
        <v>0</v>
      </c>
      <c r="P5" s="31">
        <f>0</f>
        <v>0</v>
      </c>
      <c r="Q5" s="31">
        <f>0</f>
        <v>0</v>
      </c>
      <c r="R5" s="31">
        <f>0</f>
        <v>0</v>
      </c>
      <c r="S5" s="31">
        <f>0</f>
        <v>0</v>
      </c>
    </row>
    <row r="6" spans="1:19" ht="23.25" customHeight="1" outlineLevel="2">
      <c r="A6" s="24" t="s">
        <v>14</v>
      </c>
      <c r="B6" s="25"/>
      <c r="C6" s="32"/>
      <c r="D6" s="26" t="s">
        <v>15</v>
      </c>
      <c r="E6" s="26"/>
      <c r="F6" s="27">
        <f>0</f>
        <v>0</v>
      </c>
      <c r="G6" s="28">
        <f>0</f>
        <v>0</v>
      </c>
      <c r="H6" s="28">
        <f>0</f>
        <v>0</v>
      </c>
      <c r="I6" s="29">
        <f>0</f>
        <v>0</v>
      </c>
      <c r="J6" s="30">
        <f>120000</f>
        <v>120000</v>
      </c>
      <c r="K6" s="31">
        <f>0</f>
        <v>0</v>
      </c>
      <c r="L6" s="31">
        <f>0</f>
        <v>0</v>
      </c>
      <c r="M6" s="31">
        <f>0</f>
        <v>0</v>
      </c>
      <c r="N6" s="31">
        <f>0</f>
        <v>0</v>
      </c>
      <c r="O6" s="31">
        <f>0</f>
        <v>0</v>
      </c>
      <c r="P6" s="31">
        <f>0</f>
        <v>0</v>
      </c>
      <c r="Q6" s="31">
        <f>0</f>
        <v>0</v>
      </c>
      <c r="R6" s="31">
        <f>0</f>
        <v>0</v>
      </c>
      <c r="S6" s="31">
        <f>0</f>
        <v>0</v>
      </c>
    </row>
    <row r="7" spans="1:19" ht="15" customHeight="1" outlineLevel="2">
      <c r="A7" s="24" t="s">
        <v>16</v>
      </c>
      <c r="B7" s="25"/>
      <c r="C7" s="32"/>
      <c r="D7" s="26" t="s">
        <v>17</v>
      </c>
      <c r="E7" s="26"/>
      <c r="F7" s="27">
        <f>0</f>
        <v>0</v>
      </c>
      <c r="G7" s="28">
        <f>0</f>
        <v>0</v>
      </c>
      <c r="H7" s="28">
        <f>0</f>
        <v>0</v>
      </c>
      <c r="I7" s="29">
        <f>0</f>
        <v>0</v>
      </c>
      <c r="J7" s="30">
        <f>6167743.3</f>
        <v>6167743.3</v>
      </c>
      <c r="K7" s="31">
        <f>0</f>
        <v>0</v>
      </c>
      <c r="L7" s="31">
        <f>0</f>
        <v>0</v>
      </c>
      <c r="M7" s="31">
        <f>0</f>
        <v>0</v>
      </c>
      <c r="N7" s="31">
        <f>0</f>
        <v>0</v>
      </c>
      <c r="O7" s="31">
        <f>0</f>
        <v>0</v>
      </c>
      <c r="P7" s="31">
        <f>0</f>
        <v>0</v>
      </c>
      <c r="Q7" s="31">
        <f>0</f>
        <v>0</v>
      </c>
      <c r="R7" s="31">
        <f>0</f>
        <v>0</v>
      </c>
      <c r="S7" s="31">
        <f>0</f>
        <v>0</v>
      </c>
    </row>
    <row r="8" spans="1:19" ht="15" customHeight="1" outlineLevel="2">
      <c r="A8" s="24" t="s">
        <v>18</v>
      </c>
      <c r="B8" s="25"/>
      <c r="C8" s="32"/>
      <c r="D8" s="32"/>
      <c r="E8" s="26" t="s">
        <v>19</v>
      </c>
      <c r="F8" s="27">
        <f>0</f>
        <v>0</v>
      </c>
      <c r="G8" s="28">
        <f>0</f>
        <v>0</v>
      </c>
      <c r="H8" s="28">
        <f>0</f>
        <v>0</v>
      </c>
      <c r="I8" s="29">
        <f>0</f>
        <v>0</v>
      </c>
      <c r="J8" s="30">
        <f>3722743.3</f>
        <v>3722743.3</v>
      </c>
      <c r="K8" s="31">
        <f>0</f>
        <v>0</v>
      </c>
      <c r="L8" s="31">
        <f>0</f>
        <v>0</v>
      </c>
      <c r="M8" s="31">
        <f>0</f>
        <v>0</v>
      </c>
      <c r="N8" s="31">
        <f>0</f>
        <v>0</v>
      </c>
      <c r="O8" s="31">
        <f>0</f>
        <v>0</v>
      </c>
      <c r="P8" s="31">
        <f>0</f>
        <v>0</v>
      </c>
      <c r="Q8" s="31">
        <f>0</f>
        <v>0</v>
      </c>
      <c r="R8" s="31">
        <f>0</f>
        <v>0</v>
      </c>
      <c r="S8" s="31">
        <f>0</f>
        <v>0</v>
      </c>
    </row>
    <row r="9" spans="1:19" ht="15" customHeight="1" outlineLevel="2">
      <c r="A9" s="24" t="s">
        <v>20</v>
      </c>
      <c r="B9" s="25"/>
      <c r="C9" s="32"/>
      <c r="D9" s="26" t="s">
        <v>21</v>
      </c>
      <c r="E9" s="26"/>
      <c r="F9" s="27">
        <f>0</f>
        <v>0</v>
      </c>
      <c r="G9" s="28">
        <f>0</f>
        <v>0</v>
      </c>
      <c r="H9" s="28">
        <f>0</f>
        <v>0</v>
      </c>
      <c r="I9" s="29">
        <f>0</f>
        <v>0</v>
      </c>
      <c r="J9" s="30">
        <f>7466452</f>
        <v>7466452</v>
      </c>
      <c r="K9" s="31">
        <f>0</f>
        <v>0</v>
      </c>
      <c r="L9" s="31">
        <f>0</f>
        <v>0</v>
      </c>
      <c r="M9" s="31">
        <f>0</f>
        <v>0</v>
      </c>
      <c r="N9" s="31">
        <f>0</f>
        <v>0</v>
      </c>
      <c r="O9" s="31">
        <f>0</f>
        <v>0</v>
      </c>
      <c r="P9" s="31">
        <f>0</f>
        <v>0</v>
      </c>
      <c r="Q9" s="31">
        <f>0</f>
        <v>0</v>
      </c>
      <c r="R9" s="31">
        <f>0</f>
        <v>0</v>
      </c>
      <c r="S9" s="31">
        <f>0</f>
        <v>0</v>
      </c>
    </row>
    <row r="10" spans="1:19" ht="15" customHeight="1" outlineLevel="2">
      <c r="A10" s="24" t="s">
        <v>22</v>
      </c>
      <c r="B10" s="25"/>
      <c r="C10" s="32"/>
      <c r="D10" s="26" t="s">
        <v>23</v>
      </c>
      <c r="E10" s="26"/>
      <c r="F10" s="27">
        <f>0</f>
        <v>0</v>
      </c>
      <c r="G10" s="28">
        <f>0</f>
        <v>0</v>
      </c>
      <c r="H10" s="28">
        <f>0</f>
        <v>0</v>
      </c>
      <c r="I10" s="29">
        <f>0</f>
        <v>0</v>
      </c>
      <c r="J10" s="30">
        <f>5980345.21</f>
        <v>5980345.21</v>
      </c>
      <c r="K10" s="31">
        <f>0</f>
        <v>0</v>
      </c>
      <c r="L10" s="31">
        <f>0</f>
        <v>0</v>
      </c>
      <c r="M10" s="31">
        <f>0</f>
        <v>0</v>
      </c>
      <c r="N10" s="31">
        <f>0</f>
        <v>0</v>
      </c>
      <c r="O10" s="31">
        <f>0</f>
        <v>0</v>
      </c>
      <c r="P10" s="31">
        <f>0</f>
        <v>0</v>
      </c>
      <c r="Q10" s="31">
        <f>0</f>
        <v>0</v>
      </c>
      <c r="R10" s="31">
        <f>0</f>
        <v>0</v>
      </c>
      <c r="S10" s="31">
        <f>0</f>
        <v>0</v>
      </c>
    </row>
    <row r="11" spans="1:19" ht="15" customHeight="1" outlineLevel="2">
      <c r="A11" s="24" t="s">
        <v>24</v>
      </c>
      <c r="B11" s="25"/>
      <c r="C11" s="26" t="s">
        <v>25</v>
      </c>
      <c r="D11" s="26"/>
      <c r="E11" s="26"/>
      <c r="F11" s="27">
        <f>5591089.83</f>
        <v>5591089.83</v>
      </c>
      <c r="G11" s="28">
        <f>2650951.14</f>
        <v>2650951.14</v>
      </c>
      <c r="H11" s="28">
        <f>5708395.48</f>
        <v>5708395.48</v>
      </c>
      <c r="I11" s="29">
        <f>5020533.81</f>
        <v>5020533.81</v>
      </c>
      <c r="J11" s="30">
        <f>914995.71</f>
        <v>914995.71</v>
      </c>
      <c r="K11" s="31">
        <f>0</f>
        <v>0</v>
      </c>
      <c r="L11" s="31">
        <f>0</f>
        <v>0</v>
      </c>
      <c r="M11" s="31">
        <f>0</f>
        <v>0</v>
      </c>
      <c r="N11" s="31">
        <f>0</f>
        <v>0</v>
      </c>
      <c r="O11" s="31">
        <f>0</f>
        <v>0</v>
      </c>
      <c r="P11" s="31">
        <f>0</f>
        <v>0</v>
      </c>
      <c r="Q11" s="31">
        <f>0</f>
        <v>0</v>
      </c>
      <c r="R11" s="31">
        <f>0</f>
        <v>0</v>
      </c>
      <c r="S11" s="31">
        <f>0</f>
        <v>0</v>
      </c>
    </row>
    <row r="12" spans="1:19" ht="15" customHeight="1" outlineLevel="2">
      <c r="A12" s="24" t="s">
        <v>26</v>
      </c>
      <c r="B12" s="25"/>
      <c r="C12" s="32"/>
      <c r="D12" s="26" t="s">
        <v>27</v>
      </c>
      <c r="E12" s="26"/>
      <c r="F12" s="27">
        <f>1337141.05</f>
        <v>1337141.05</v>
      </c>
      <c r="G12" s="28">
        <f>26005.76</f>
        <v>26005.76</v>
      </c>
      <c r="H12" s="28">
        <f>100000</f>
        <v>100000</v>
      </c>
      <c r="I12" s="29">
        <f>159888.32</f>
        <v>159888.32</v>
      </c>
      <c r="J12" s="30">
        <f>125000</f>
        <v>125000</v>
      </c>
      <c r="K12" s="31">
        <f>0</f>
        <v>0</v>
      </c>
      <c r="L12" s="31">
        <f>0</f>
        <v>0</v>
      </c>
      <c r="M12" s="31">
        <f>0</f>
        <v>0</v>
      </c>
      <c r="N12" s="31">
        <f>0</f>
        <v>0</v>
      </c>
      <c r="O12" s="31">
        <f>0</f>
        <v>0</v>
      </c>
      <c r="P12" s="31">
        <f>0</f>
        <v>0</v>
      </c>
      <c r="Q12" s="31">
        <f>0</f>
        <v>0</v>
      </c>
      <c r="R12" s="31">
        <f>0</f>
        <v>0</v>
      </c>
      <c r="S12" s="31">
        <f>0</f>
        <v>0</v>
      </c>
    </row>
    <row r="13" spans="1:19" ht="15" customHeight="1" outlineLevel="2">
      <c r="A13" s="24" t="s">
        <v>28</v>
      </c>
      <c r="B13" s="25"/>
      <c r="C13" s="32"/>
      <c r="D13" s="26" t="s">
        <v>29</v>
      </c>
      <c r="E13" s="26"/>
      <c r="F13" s="27">
        <f>0</f>
        <v>0</v>
      </c>
      <c r="G13" s="28">
        <f>0</f>
        <v>0</v>
      </c>
      <c r="H13" s="28">
        <f>0</f>
        <v>0</v>
      </c>
      <c r="I13" s="29">
        <f>0</f>
        <v>0</v>
      </c>
      <c r="J13" s="30">
        <f>779995.71</f>
        <v>779995.71</v>
      </c>
      <c r="K13" s="31">
        <f>0</f>
        <v>0</v>
      </c>
      <c r="L13" s="31">
        <f>0</f>
        <v>0</v>
      </c>
      <c r="M13" s="31">
        <f>0</f>
        <v>0</v>
      </c>
      <c r="N13" s="31">
        <f>0</f>
        <v>0</v>
      </c>
      <c r="O13" s="31">
        <f>0</f>
        <v>0</v>
      </c>
      <c r="P13" s="31">
        <f>0</f>
        <v>0</v>
      </c>
      <c r="Q13" s="31">
        <f>0</f>
        <v>0</v>
      </c>
      <c r="R13" s="31">
        <f>0</f>
        <v>0</v>
      </c>
      <c r="S13" s="31">
        <f>0</f>
        <v>0</v>
      </c>
    </row>
    <row r="14" spans="1:20" ht="15" customHeight="1" outlineLevel="1">
      <c r="A14" s="16">
        <v>2</v>
      </c>
      <c r="B14" s="17" t="s">
        <v>30</v>
      </c>
      <c r="C14" s="17"/>
      <c r="D14" s="17"/>
      <c r="E14" s="17"/>
      <c r="F14" s="18">
        <f>34609335.7</f>
        <v>34609335.7</v>
      </c>
      <c r="G14" s="19">
        <f>31037203.93</f>
        <v>31037203.93</v>
      </c>
      <c r="H14" s="19">
        <f>40495660.86</f>
        <v>40495660.86</v>
      </c>
      <c r="I14" s="20">
        <f>36384626.19</f>
        <v>36384626.19</v>
      </c>
      <c r="J14" s="21">
        <f>34550862.44</f>
        <v>34550862.44</v>
      </c>
      <c r="K14" s="22">
        <f>29422594.71</f>
        <v>29422594.71</v>
      </c>
      <c r="L14" s="22">
        <f>29150000</f>
        <v>29150000</v>
      </c>
      <c r="M14" s="22">
        <f>29500000</f>
        <v>29500000</v>
      </c>
      <c r="N14" s="22">
        <f>29800000</f>
        <v>29800000</v>
      </c>
      <c r="O14" s="22">
        <f>30400000</f>
        <v>30400000</v>
      </c>
      <c r="P14" s="22">
        <f>31000000</f>
        <v>31000000</v>
      </c>
      <c r="Q14" s="22">
        <f>31500000</f>
        <v>31500000</v>
      </c>
      <c r="R14" s="22">
        <f>33000000</f>
        <v>33000000</v>
      </c>
      <c r="S14" s="22">
        <f>33446631.84</f>
        <v>33446631.84</v>
      </c>
      <c r="T14" s="23"/>
    </row>
    <row r="15" spans="1:19" ht="15" customHeight="1" outlineLevel="2">
      <c r="A15" s="24" t="s">
        <v>31</v>
      </c>
      <c r="B15" s="25"/>
      <c r="C15" s="26" t="s">
        <v>32</v>
      </c>
      <c r="D15" s="26"/>
      <c r="E15" s="26"/>
      <c r="F15" s="27">
        <f>25207681.97</f>
        <v>25207681.97</v>
      </c>
      <c r="G15" s="28">
        <f>26129253.64</f>
        <v>26129253.64</v>
      </c>
      <c r="H15" s="28">
        <f>29218500.44</f>
        <v>29218500.44</v>
      </c>
      <c r="I15" s="29">
        <f>26785030.3</f>
        <v>26785030.3</v>
      </c>
      <c r="J15" s="30">
        <f>27407575.16</f>
        <v>27407575.16</v>
      </c>
      <c r="K15" s="31">
        <f>26878935.15</f>
        <v>26878935.15</v>
      </c>
      <c r="L15" s="31">
        <f>27150000</f>
        <v>27150000</v>
      </c>
      <c r="M15" s="31">
        <f>27420000</f>
        <v>27420000</v>
      </c>
      <c r="N15" s="31">
        <f>27790000</f>
        <v>27790000</v>
      </c>
      <c r="O15" s="31">
        <f>28230000</f>
        <v>28230000</v>
      </c>
      <c r="P15" s="31">
        <f>28670000</f>
        <v>28670000</v>
      </c>
      <c r="Q15" s="31">
        <f>29140000</f>
        <v>29140000</v>
      </c>
      <c r="R15" s="31">
        <f>29610000</f>
        <v>29610000</v>
      </c>
      <c r="S15" s="31">
        <f>30060000</f>
        <v>30060000</v>
      </c>
    </row>
    <row r="16" spans="1:19" ht="15" customHeight="1" outlineLevel="2">
      <c r="A16" s="24" t="s">
        <v>33</v>
      </c>
      <c r="B16" s="25"/>
      <c r="C16" s="32"/>
      <c r="D16" s="26" t="s">
        <v>34</v>
      </c>
      <c r="E16" s="26"/>
      <c r="F16" s="27">
        <f>0</f>
        <v>0</v>
      </c>
      <c r="G16" s="28">
        <f>0</f>
        <v>0</v>
      </c>
      <c r="H16" s="28">
        <f>50000</f>
        <v>50000</v>
      </c>
      <c r="I16" s="29">
        <f>0</f>
        <v>0</v>
      </c>
      <c r="J16" s="30">
        <f aca="true" t="shared" si="0" ref="J16:Q16">110000</f>
        <v>110000</v>
      </c>
      <c r="K16" s="31">
        <f t="shared" si="0"/>
        <v>110000</v>
      </c>
      <c r="L16" s="31">
        <f t="shared" si="0"/>
        <v>110000</v>
      </c>
      <c r="M16" s="31">
        <f t="shared" si="0"/>
        <v>110000</v>
      </c>
      <c r="N16" s="31">
        <f t="shared" si="0"/>
        <v>110000</v>
      </c>
      <c r="O16" s="31">
        <f t="shared" si="0"/>
        <v>110000</v>
      </c>
      <c r="P16" s="31">
        <f t="shared" si="0"/>
        <v>110000</v>
      </c>
      <c r="Q16" s="31">
        <f t="shared" si="0"/>
        <v>110000</v>
      </c>
      <c r="R16" s="31">
        <f>101000</f>
        <v>101000</v>
      </c>
      <c r="S16" s="31">
        <f>59000</f>
        <v>59000</v>
      </c>
    </row>
    <row r="17" spans="1:19" ht="60" customHeight="1" outlineLevel="2">
      <c r="A17" s="24" t="s">
        <v>35</v>
      </c>
      <c r="B17" s="33" t="s">
        <v>36</v>
      </c>
      <c r="C17" s="33"/>
      <c r="D17" s="33"/>
      <c r="E17" s="33"/>
      <c r="F17" s="27">
        <f>0</f>
        <v>0</v>
      </c>
      <c r="G17" s="28">
        <f>0</f>
        <v>0</v>
      </c>
      <c r="H17" s="28">
        <f>0</f>
        <v>0</v>
      </c>
      <c r="I17" s="29">
        <f>0</f>
        <v>0</v>
      </c>
      <c r="J17" s="30">
        <f>0</f>
        <v>0</v>
      </c>
      <c r="K17" s="31">
        <f>0</f>
        <v>0</v>
      </c>
      <c r="L17" s="31">
        <f>0</f>
        <v>0</v>
      </c>
      <c r="M17" s="31">
        <f>0</f>
        <v>0</v>
      </c>
      <c r="N17" s="31">
        <f>0</f>
        <v>0</v>
      </c>
      <c r="O17" s="31">
        <f>0</f>
        <v>0</v>
      </c>
      <c r="P17" s="31">
        <f>0</f>
        <v>0</v>
      </c>
      <c r="Q17" s="31">
        <f>0</f>
        <v>0</v>
      </c>
      <c r="R17" s="31">
        <f>0</f>
        <v>0</v>
      </c>
      <c r="S17" s="31">
        <f>0</f>
        <v>0</v>
      </c>
    </row>
    <row r="18" spans="1:19" ht="46.5" customHeight="1" outlineLevel="2">
      <c r="A18" s="24" t="s">
        <v>37</v>
      </c>
      <c r="B18" s="33" t="s">
        <v>38</v>
      </c>
      <c r="C18" s="33"/>
      <c r="D18" s="33"/>
      <c r="E18" s="33"/>
      <c r="F18" s="34" t="s">
        <v>39</v>
      </c>
      <c r="G18" s="35" t="s">
        <v>39</v>
      </c>
      <c r="H18" s="35" t="s">
        <v>39</v>
      </c>
      <c r="I18" s="36" t="s">
        <v>39</v>
      </c>
      <c r="J18" s="30">
        <f>0</f>
        <v>0</v>
      </c>
      <c r="K18" s="31">
        <f>0</f>
        <v>0</v>
      </c>
      <c r="L18" s="31">
        <f>0</f>
        <v>0</v>
      </c>
      <c r="M18" s="31">
        <f>0</f>
        <v>0</v>
      </c>
      <c r="N18" s="31">
        <f>0</f>
        <v>0</v>
      </c>
      <c r="O18" s="31">
        <f>0</f>
        <v>0</v>
      </c>
      <c r="P18" s="31">
        <f>0</f>
        <v>0</v>
      </c>
      <c r="Q18" s="31">
        <f>0</f>
        <v>0</v>
      </c>
      <c r="R18" s="31">
        <f>0</f>
        <v>0</v>
      </c>
      <c r="S18" s="31">
        <f>0</f>
        <v>0</v>
      </c>
    </row>
    <row r="19" spans="1:19" ht="16.5" customHeight="1" outlineLevel="2">
      <c r="A19" s="24" t="s">
        <v>40</v>
      </c>
      <c r="B19" s="25"/>
      <c r="C19" s="32"/>
      <c r="D19" s="26" t="s">
        <v>41</v>
      </c>
      <c r="E19" s="26"/>
      <c r="F19" s="27">
        <f>464051.55</f>
        <v>464051.55</v>
      </c>
      <c r="G19" s="28">
        <f>755389.64</f>
        <v>755389.64</v>
      </c>
      <c r="H19" s="28">
        <f>884400</f>
        <v>884400</v>
      </c>
      <c r="I19" s="29">
        <f>791159.57</f>
        <v>791159.57</v>
      </c>
      <c r="J19" s="30">
        <f>850000</f>
        <v>850000</v>
      </c>
      <c r="K19" s="31">
        <f>750000</f>
        <v>750000</v>
      </c>
      <c r="L19" s="31">
        <f>650000</f>
        <v>650000</v>
      </c>
      <c r="M19" s="31">
        <f>420000</f>
        <v>420000</v>
      </c>
      <c r="N19" s="31">
        <f>290000</f>
        <v>290000</v>
      </c>
      <c r="O19" s="31">
        <f>230000</f>
        <v>230000</v>
      </c>
      <c r="P19" s="31">
        <f>170000</f>
        <v>170000</v>
      </c>
      <c r="Q19" s="31">
        <f>140000</f>
        <v>140000</v>
      </c>
      <c r="R19" s="31">
        <f>110000</f>
        <v>110000</v>
      </c>
      <c r="S19" s="31">
        <f>60000</f>
        <v>60000</v>
      </c>
    </row>
    <row r="20" spans="1:19" ht="14.25" customHeight="1" outlineLevel="2">
      <c r="A20" s="24" t="s">
        <v>42</v>
      </c>
      <c r="B20" s="33" t="s">
        <v>43</v>
      </c>
      <c r="C20" s="33"/>
      <c r="D20" s="33"/>
      <c r="E20" s="33"/>
      <c r="F20" s="27">
        <f>464051.55</f>
        <v>464051.55</v>
      </c>
      <c r="G20" s="28">
        <f>755389.64</f>
        <v>755389.64</v>
      </c>
      <c r="H20" s="28">
        <f>884400</f>
        <v>884400</v>
      </c>
      <c r="I20" s="29">
        <f>791159.57</f>
        <v>791159.57</v>
      </c>
      <c r="J20" s="30">
        <f>850000</f>
        <v>850000</v>
      </c>
      <c r="K20" s="31">
        <f>750000</f>
        <v>750000</v>
      </c>
      <c r="L20" s="31">
        <f>650000</f>
        <v>650000</v>
      </c>
      <c r="M20" s="31">
        <f>420000</f>
        <v>420000</v>
      </c>
      <c r="N20" s="31">
        <f>290000</f>
        <v>290000</v>
      </c>
      <c r="O20" s="31">
        <f>230000</f>
        <v>230000</v>
      </c>
      <c r="P20" s="31">
        <f>170000</f>
        <v>170000</v>
      </c>
      <c r="Q20" s="31">
        <f>140000</f>
        <v>140000</v>
      </c>
      <c r="R20" s="31">
        <f>110000</f>
        <v>110000</v>
      </c>
      <c r="S20" s="31">
        <f>60000</f>
        <v>60000</v>
      </c>
    </row>
    <row r="21" spans="1:19" ht="15" customHeight="1" outlineLevel="2">
      <c r="A21" s="24" t="s">
        <v>44</v>
      </c>
      <c r="B21" s="25"/>
      <c r="C21" s="26" t="s">
        <v>45</v>
      </c>
      <c r="D21" s="26"/>
      <c r="E21" s="26"/>
      <c r="F21" s="27">
        <f>9401653.73</f>
        <v>9401653.73</v>
      </c>
      <c r="G21" s="28">
        <f>4907950.29</f>
        <v>4907950.29</v>
      </c>
      <c r="H21" s="28">
        <f>11277160.42</f>
        <v>11277160.42</v>
      </c>
      <c r="I21" s="29">
        <f>9599595.89</f>
        <v>9599595.89</v>
      </c>
      <c r="J21" s="30">
        <f>7143287.28</f>
        <v>7143287.28</v>
      </c>
      <c r="K21" s="31">
        <f>2543659.56</f>
        <v>2543659.56</v>
      </c>
      <c r="L21" s="31">
        <f>2000000</f>
        <v>2000000</v>
      </c>
      <c r="M21" s="31">
        <f>2080000</f>
        <v>2080000</v>
      </c>
      <c r="N21" s="31">
        <f>2010000</f>
        <v>2010000</v>
      </c>
      <c r="O21" s="31">
        <f>2170000</f>
        <v>2170000</v>
      </c>
      <c r="P21" s="31">
        <f>2330000</f>
        <v>2330000</v>
      </c>
      <c r="Q21" s="31">
        <f>2360000</f>
        <v>2360000</v>
      </c>
      <c r="R21" s="31">
        <f>3390000</f>
        <v>3390000</v>
      </c>
      <c r="S21" s="31">
        <f>3386631.84</f>
        <v>3386631.84</v>
      </c>
    </row>
    <row r="22" spans="1:20" ht="15" customHeight="1" outlineLevel="1">
      <c r="A22" s="16">
        <v>3</v>
      </c>
      <c r="B22" s="17" t="s">
        <v>46</v>
      </c>
      <c r="C22" s="17"/>
      <c r="D22" s="17"/>
      <c r="E22" s="17"/>
      <c r="F22" s="18">
        <f>-3124459.69</f>
        <v>-3124459.69</v>
      </c>
      <c r="G22" s="19">
        <f>26238.4</f>
        <v>26238.4</v>
      </c>
      <c r="H22" s="19">
        <f>-4871540.93</f>
        <v>-4871540.93</v>
      </c>
      <c r="I22" s="20">
        <f>-1946205.92</f>
        <v>-1946205.92</v>
      </c>
      <c r="J22" s="21">
        <f>-2607411.22</f>
        <v>-2607411.22</v>
      </c>
      <c r="K22" s="22">
        <f>1300000</f>
        <v>1300000</v>
      </c>
      <c r="L22" s="22">
        <f>1850000</f>
        <v>1850000</v>
      </c>
      <c r="M22" s="22">
        <f>2000000</f>
        <v>2000000</v>
      </c>
      <c r="N22" s="22">
        <f>2200000</f>
        <v>2200000</v>
      </c>
      <c r="O22" s="22">
        <f>2100000</f>
        <v>2100000</v>
      </c>
      <c r="P22" s="22">
        <f>2000000</f>
        <v>2000000</v>
      </c>
      <c r="Q22" s="22">
        <f>2000000</f>
        <v>2000000</v>
      </c>
      <c r="R22" s="22">
        <f>1000000</f>
        <v>1000000</v>
      </c>
      <c r="S22" s="22">
        <f>1053368.16</f>
        <v>1053368.16</v>
      </c>
      <c r="T22" s="23"/>
    </row>
    <row r="23" spans="1:20" ht="15" customHeight="1" outlineLevel="1">
      <c r="A23" s="16">
        <v>4</v>
      </c>
      <c r="B23" s="17" t="s">
        <v>47</v>
      </c>
      <c r="C23" s="17"/>
      <c r="D23" s="17"/>
      <c r="E23" s="17"/>
      <c r="F23" s="18">
        <f>6000000</f>
        <v>6000000</v>
      </c>
      <c r="G23" s="19">
        <f>3600000</f>
        <v>3600000</v>
      </c>
      <c r="H23" s="19">
        <f>6775540.93</f>
        <v>6775540.93</v>
      </c>
      <c r="I23" s="20">
        <f>6456793.84</f>
        <v>6456793.84</v>
      </c>
      <c r="J23" s="21">
        <f>4861411.22</f>
        <v>4861411.22</v>
      </c>
      <c r="K23" s="22">
        <f>0</f>
        <v>0</v>
      </c>
      <c r="L23" s="22">
        <f>0</f>
        <v>0</v>
      </c>
      <c r="M23" s="22">
        <f>0</f>
        <v>0</v>
      </c>
      <c r="N23" s="22">
        <f>0</f>
        <v>0</v>
      </c>
      <c r="O23" s="22">
        <f>0</f>
        <v>0</v>
      </c>
      <c r="P23" s="22">
        <f>0</f>
        <v>0</v>
      </c>
      <c r="Q23" s="22">
        <f>0</f>
        <v>0</v>
      </c>
      <c r="R23" s="22">
        <f>0</f>
        <v>0</v>
      </c>
      <c r="S23" s="22">
        <f>0</f>
        <v>0</v>
      </c>
      <c r="T23" s="23"/>
    </row>
    <row r="24" spans="1:19" ht="15" customHeight="1" outlineLevel="2">
      <c r="A24" s="24" t="s">
        <v>48</v>
      </c>
      <c r="B24" s="25"/>
      <c r="C24" s="26" t="s">
        <v>49</v>
      </c>
      <c r="D24" s="26"/>
      <c r="E24" s="26"/>
      <c r="F24" s="27">
        <f>0</f>
        <v>0</v>
      </c>
      <c r="G24" s="28">
        <f>0</f>
        <v>0</v>
      </c>
      <c r="H24" s="28">
        <f>0</f>
        <v>0</v>
      </c>
      <c r="I24" s="29">
        <f>0</f>
        <v>0</v>
      </c>
      <c r="J24" s="30">
        <f>0</f>
        <v>0</v>
      </c>
      <c r="K24" s="31">
        <f>0</f>
        <v>0</v>
      </c>
      <c r="L24" s="31">
        <f>0</f>
        <v>0</v>
      </c>
      <c r="M24" s="31">
        <f>0</f>
        <v>0</v>
      </c>
      <c r="N24" s="31">
        <f>0</f>
        <v>0</v>
      </c>
      <c r="O24" s="31">
        <f>0</f>
        <v>0</v>
      </c>
      <c r="P24" s="31">
        <f>0</f>
        <v>0</v>
      </c>
      <c r="Q24" s="31">
        <f>0</f>
        <v>0</v>
      </c>
      <c r="R24" s="31">
        <f>0</f>
        <v>0</v>
      </c>
      <c r="S24" s="31">
        <f>0</f>
        <v>0</v>
      </c>
    </row>
    <row r="25" spans="1:19" ht="15" customHeight="1" outlineLevel="2">
      <c r="A25" s="24" t="s">
        <v>50</v>
      </c>
      <c r="B25" s="25"/>
      <c r="C25" s="32"/>
      <c r="D25" s="26" t="s">
        <v>51</v>
      </c>
      <c r="E25" s="26"/>
      <c r="F25" s="27">
        <f>0</f>
        <v>0</v>
      </c>
      <c r="G25" s="28">
        <f>0</f>
        <v>0</v>
      </c>
      <c r="H25" s="28">
        <f>0</f>
        <v>0</v>
      </c>
      <c r="I25" s="29">
        <f>0</f>
        <v>0</v>
      </c>
      <c r="J25" s="30">
        <f>0</f>
        <v>0</v>
      </c>
      <c r="K25" s="31">
        <f>0</f>
        <v>0</v>
      </c>
      <c r="L25" s="31">
        <f>0</f>
        <v>0</v>
      </c>
      <c r="M25" s="31">
        <f>0</f>
        <v>0</v>
      </c>
      <c r="N25" s="31">
        <f>0</f>
        <v>0</v>
      </c>
      <c r="O25" s="31">
        <f>0</f>
        <v>0</v>
      </c>
      <c r="P25" s="31">
        <f>0</f>
        <v>0</v>
      </c>
      <c r="Q25" s="31">
        <f>0</f>
        <v>0</v>
      </c>
      <c r="R25" s="31">
        <f>0</f>
        <v>0</v>
      </c>
      <c r="S25" s="31">
        <f>0</f>
        <v>0</v>
      </c>
    </row>
    <row r="26" spans="1:19" ht="15" customHeight="1" outlineLevel="2">
      <c r="A26" s="24" t="s">
        <v>52</v>
      </c>
      <c r="B26" s="25"/>
      <c r="C26" s="26" t="s">
        <v>53</v>
      </c>
      <c r="D26" s="26"/>
      <c r="E26" s="26"/>
      <c r="F26" s="27">
        <f>0</f>
        <v>0</v>
      </c>
      <c r="G26" s="28">
        <f>0</f>
        <v>0</v>
      </c>
      <c r="H26" s="28">
        <f>2956793.84</f>
        <v>2956793.84</v>
      </c>
      <c r="I26" s="29">
        <f>2956793.84</f>
        <v>2956793.84</v>
      </c>
      <c r="J26" s="30">
        <f>2607411.22</f>
        <v>2607411.22</v>
      </c>
      <c r="K26" s="31">
        <f>0</f>
        <v>0</v>
      </c>
      <c r="L26" s="31">
        <f>0</f>
        <v>0</v>
      </c>
      <c r="M26" s="31">
        <f>0</f>
        <v>0</v>
      </c>
      <c r="N26" s="31">
        <f>0</f>
        <v>0</v>
      </c>
      <c r="O26" s="31">
        <f>0</f>
        <v>0</v>
      </c>
      <c r="P26" s="31">
        <f>0</f>
        <v>0</v>
      </c>
      <c r="Q26" s="31">
        <f>0</f>
        <v>0</v>
      </c>
      <c r="R26" s="31">
        <f>0</f>
        <v>0</v>
      </c>
      <c r="S26" s="31">
        <f>0</f>
        <v>0</v>
      </c>
    </row>
    <row r="27" spans="1:19" ht="15" customHeight="1" outlineLevel="2">
      <c r="A27" s="24" t="s">
        <v>54</v>
      </c>
      <c r="B27" s="25"/>
      <c r="C27" s="32"/>
      <c r="D27" s="26" t="s">
        <v>51</v>
      </c>
      <c r="E27" s="26"/>
      <c r="F27" s="27">
        <f>0</f>
        <v>0</v>
      </c>
      <c r="G27" s="28">
        <f>0</f>
        <v>0</v>
      </c>
      <c r="H27" s="28">
        <f>1052793.84</f>
        <v>1052793.84</v>
      </c>
      <c r="I27" s="29">
        <f>1052793.84</f>
        <v>1052793.84</v>
      </c>
      <c r="J27" s="30">
        <f>2607411.22</f>
        <v>2607411.22</v>
      </c>
      <c r="K27" s="31">
        <f>0</f>
        <v>0</v>
      </c>
      <c r="L27" s="31">
        <f>0</f>
        <v>0</v>
      </c>
      <c r="M27" s="31">
        <f>0</f>
        <v>0</v>
      </c>
      <c r="N27" s="31">
        <f>0</f>
        <v>0</v>
      </c>
      <c r="O27" s="31">
        <f>0</f>
        <v>0</v>
      </c>
      <c r="P27" s="31">
        <f>0</f>
        <v>0</v>
      </c>
      <c r="Q27" s="31">
        <f>0</f>
        <v>0</v>
      </c>
      <c r="R27" s="31">
        <f>0</f>
        <v>0</v>
      </c>
      <c r="S27" s="31">
        <f>0</f>
        <v>0</v>
      </c>
    </row>
    <row r="28" spans="1:19" ht="15" customHeight="1" outlineLevel="2">
      <c r="A28" s="24" t="s">
        <v>55</v>
      </c>
      <c r="B28" s="25"/>
      <c r="C28" s="26" t="s">
        <v>56</v>
      </c>
      <c r="D28" s="26"/>
      <c r="E28" s="26"/>
      <c r="F28" s="27">
        <f>6000000</f>
        <v>6000000</v>
      </c>
      <c r="G28" s="28">
        <f>3600000</f>
        <v>3600000</v>
      </c>
      <c r="H28" s="28">
        <f>3818747.09</f>
        <v>3818747.09</v>
      </c>
      <c r="I28" s="29">
        <f>3500000</f>
        <v>3500000</v>
      </c>
      <c r="J28" s="30">
        <f>2254000</f>
        <v>2254000</v>
      </c>
      <c r="K28" s="31">
        <f>0</f>
        <v>0</v>
      </c>
      <c r="L28" s="31">
        <f>0</f>
        <v>0</v>
      </c>
      <c r="M28" s="31">
        <f>0</f>
        <v>0</v>
      </c>
      <c r="N28" s="31">
        <f>0</f>
        <v>0</v>
      </c>
      <c r="O28" s="31">
        <f>0</f>
        <v>0</v>
      </c>
      <c r="P28" s="31">
        <f>0</f>
        <v>0</v>
      </c>
      <c r="Q28" s="31">
        <f>0</f>
        <v>0</v>
      </c>
      <c r="R28" s="31">
        <f>0</f>
        <v>0</v>
      </c>
      <c r="S28" s="31">
        <f>0</f>
        <v>0</v>
      </c>
    </row>
    <row r="29" spans="1:19" ht="15" customHeight="1" outlineLevel="2">
      <c r="A29" s="24" t="s">
        <v>57</v>
      </c>
      <c r="B29" s="25"/>
      <c r="C29" s="32"/>
      <c r="D29" s="26" t="s">
        <v>51</v>
      </c>
      <c r="E29" s="26"/>
      <c r="F29" s="27">
        <f>0</f>
        <v>0</v>
      </c>
      <c r="G29" s="28">
        <f>0</f>
        <v>0</v>
      </c>
      <c r="H29" s="28">
        <f>3818747.09</f>
        <v>3818747.09</v>
      </c>
      <c r="I29" s="29">
        <f>3500000</f>
        <v>3500000</v>
      </c>
      <c r="J29" s="30">
        <f>0</f>
        <v>0</v>
      </c>
      <c r="K29" s="31">
        <f>0</f>
        <v>0</v>
      </c>
      <c r="L29" s="31">
        <f>0</f>
        <v>0</v>
      </c>
      <c r="M29" s="31">
        <f>0</f>
        <v>0</v>
      </c>
      <c r="N29" s="31">
        <f>0</f>
        <v>0</v>
      </c>
      <c r="O29" s="31">
        <f>0</f>
        <v>0</v>
      </c>
      <c r="P29" s="31">
        <f>0</f>
        <v>0</v>
      </c>
      <c r="Q29" s="31">
        <f>0</f>
        <v>0</v>
      </c>
      <c r="R29" s="31">
        <f>0</f>
        <v>0</v>
      </c>
      <c r="S29" s="31">
        <f>0</f>
        <v>0</v>
      </c>
    </row>
    <row r="30" spans="1:19" ht="15" customHeight="1" outlineLevel="2">
      <c r="A30" s="24" t="s">
        <v>58</v>
      </c>
      <c r="B30" s="25"/>
      <c r="C30" s="26" t="s">
        <v>59</v>
      </c>
      <c r="D30" s="26"/>
      <c r="E30" s="26"/>
      <c r="F30" s="27">
        <f>0</f>
        <v>0</v>
      </c>
      <c r="G30" s="28">
        <f>0</f>
        <v>0</v>
      </c>
      <c r="H30" s="28">
        <f>0</f>
        <v>0</v>
      </c>
      <c r="I30" s="29">
        <f>0</f>
        <v>0</v>
      </c>
      <c r="J30" s="30">
        <f>0</f>
        <v>0</v>
      </c>
      <c r="K30" s="31">
        <f>0</f>
        <v>0</v>
      </c>
      <c r="L30" s="31">
        <f>0</f>
        <v>0</v>
      </c>
      <c r="M30" s="31">
        <f>0</f>
        <v>0</v>
      </c>
      <c r="N30" s="31">
        <f>0</f>
        <v>0</v>
      </c>
      <c r="O30" s="31">
        <f>0</f>
        <v>0</v>
      </c>
      <c r="P30" s="31">
        <f>0</f>
        <v>0</v>
      </c>
      <c r="Q30" s="31">
        <f>0</f>
        <v>0</v>
      </c>
      <c r="R30" s="31">
        <f>0</f>
        <v>0</v>
      </c>
      <c r="S30" s="31">
        <f>0</f>
        <v>0</v>
      </c>
    </row>
    <row r="31" spans="1:19" ht="15" customHeight="1" outlineLevel="2">
      <c r="A31" s="24" t="s">
        <v>60</v>
      </c>
      <c r="B31" s="25"/>
      <c r="C31" s="32"/>
      <c r="D31" s="26" t="s">
        <v>51</v>
      </c>
      <c r="E31" s="26"/>
      <c r="F31" s="27">
        <f>0</f>
        <v>0</v>
      </c>
      <c r="G31" s="28">
        <f>0</f>
        <v>0</v>
      </c>
      <c r="H31" s="28">
        <f>0</f>
        <v>0</v>
      </c>
      <c r="I31" s="29">
        <f>0</f>
        <v>0</v>
      </c>
      <c r="J31" s="30">
        <f>0</f>
        <v>0</v>
      </c>
      <c r="K31" s="31">
        <f>0</f>
        <v>0</v>
      </c>
      <c r="L31" s="31">
        <f>0</f>
        <v>0</v>
      </c>
      <c r="M31" s="31">
        <f>0</f>
        <v>0</v>
      </c>
      <c r="N31" s="31">
        <f>0</f>
        <v>0</v>
      </c>
      <c r="O31" s="31">
        <f>0</f>
        <v>0</v>
      </c>
      <c r="P31" s="31">
        <f>0</f>
        <v>0</v>
      </c>
      <c r="Q31" s="31">
        <f>0</f>
        <v>0</v>
      </c>
      <c r="R31" s="31">
        <f>0</f>
        <v>0</v>
      </c>
      <c r="S31" s="31">
        <f>0</f>
        <v>0</v>
      </c>
    </row>
    <row r="32" spans="1:20" ht="15" customHeight="1" outlineLevel="1">
      <c r="A32" s="16">
        <v>5</v>
      </c>
      <c r="B32" s="17" t="s">
        <v>61</v>
      </c>
      <c r="C32" s="17"/>
      <c r="D32" s="17"/>
      <c r="E32" s="17"/>
      <c r="F32" s="18">
        <f>1916539.28</f>
        <v>1916539.28</v>
      </c>
      <c r="G32" s="19">
        <f>2541577.28</f>
        <v>2541577.28</v>
      </c>
      <c r="H32" s="19">
        <f>1904000</f>
        <v>1904000</v>
      </c>
      <c r="I32" s="20">
        <f>1903176.7</f>
        <v>1903176.7</v>
      </c>
      <c r="J32" s="21">
        <f>2254000</f>
        <v>2254000</v>
      </c>
      <c r="K32" s="22">
        <f>1300000</f>
        <v>1300000</v>
      </c>
      <c r="L32" s="22">
        <f>1850000</f>
        <v>1850000</v>
      </c>
      <c r="M32" s="22">
        <f>2000000</f>
        <v>2000000</v>
      </c>
      <c r="N32" s="22">
        <f>2200000</f>
        <v>2200000</v>
      </c>
      <c r="O32" s="22">
        <f>2100000</f>
        <v>2100000</v>
      </c>
      <c r="P32" s="22">
        <f>2000000</f>
        <v>2000000</v>
      </c>
      <c r="Q32" s="22">
        <f>2000000</f>
        <v>2000000</v>
      </c>
      <c r="R32" s="22">
        <f>1000000</f>
        <v>1000000</v>
      </c>
      <c r="S32" s="22">
        <f>1053368.16</f>
        <v>1053368.16</v>
      </c>
      <c r="T32" s="23"/>
    </row>
    <row r="33" spans="1:19" ht="23.25" customHeight="1" outlineLevel="2">
      <c r="A33" s="24" t="s">
        <v>62</v>
      </c>
      <c r="B33" s="25"/>
      <c r="C33" s="26" t="s">
        <v>63</v>
      </c>
      <c r="D33" s="26"/>
      <c r="E33" s="26"/>
      <c r="F33" s="27">
        <f>1916539.28</f>
        <v>1916539.28</v>
      </c>
      <c r="G33" s="28">
        <f>2541577.28</f>
        <v>2541577.28</v>
      </c>
      <c r="H33" s="28">
        <f>1904000</f>
        <v>1904000</v>
      </c>
      <c r="I33" s="29">
        <f>1903176.7</f>
        <v>1903176.7</v>
      </c>
      <c r="J33" s="30">
        <f>2254000</f>
        <v>2254000</v>
      </c>
      <c r="K33" s="31">
        <f>1300000</f>
        <v>1300000</v>
      </c>
      <c r="L33" s="31">
        <f>1850000</f>
        <v>1850000</v>
      </c>
      <c r="M33" s="31">
        <f>2000000</f>
        <v>2000000</v>
      </c>
      <c r="N33" s="31">
        <f>2200000</f>
        <v>2200000</v>
      </c>
      <c r="O33" s="31">
        <f>2100000</f>
        <v>2100000</v>
      </c>
      <c r="P33" s="31">
        <f>2000000</f>
        <v>2000000</v>
      </c>
      <c r="Q33" s="31">
        <f>2000000</f>
        <v>2000000</v>
      </c>
      <c r="R33" s="31">
        <f>1000000</f>
        <v>1000000</v>
      </c>
      <c r="S33" s="31">
        <f>1053368.16</f>
        <v>1053368.16</v>
      </c>
    </row>
    <row r="34" spans="1:19" ht="72.75" customHeight="1" outlineLevel="2">
      <c r="A34" s="24" t="s">
        <v>64</v>
      </c>
      <c r="B34" s="33" t="s">
        <v>65</v>
      </c>
      <c r="C34" s="33"/>
      <c r="D34" s="33"/>
      <c r="E34" s="33"/>
      <c r="F34" s="27">
        <f>0</f>
        <v>0</v>
      </c>
      <c r="G34" s="28">
        <f>0</f>
        <v>0</v>
      </c>
      <c r="H34" s="28">
        <f>0</f>
        <v>0</v>
      </c>
      <c r="I34" s="29">
        <f>0</f>
        <v>0</v>
      </c>
      <c r="J34" s="30">
        <f>0</f>
        <v>0</v>
      </c>
      <c r="K34" s="31">
        <f>0</f>
        <v>0</v>
      </c>
      <c r="L34" s="31">
        <f>0</f>
        <v>0</v>
      </c>
      <c r="M34" s="31">
        <f>0</f>
        <v>0</v>
      </c>
      <c r="N34" s="31">
        <f>0</f>
        <v>0</v>
      </c>
      <c r="O34" s="31">
        <f>0</f>
        <v>0</v>
      </c>
      <c r="P34" s="31">
        <f>0</f>
        <v>0</v>
      </c>
      <c r="Q34" s="31">
        <f>0</f>
        <v>0</v>
      </c>
      <c r="R34" s="31">
        <f>0</f>
        <v>0</v>
      </c>
      <c r="S34" s="31">
        <f>0</f>
        <v>0</v>
      </c>
    </row>
    <row r="35" spans="1:19" ht="25.5" customHeight="1" outlineLevel="2">
      <c r="A35" s="24" t="s">
        <v>66</v>
      </c>
      <c r="B35" s="37" t="s">
        <v>67</v>
      </c>
      <c r="C35" s="37"/>
      <c r="D35" s="37"/>
      <c r="E35" s="37"/>
      <c r="F35" s="27">
        <f>0</f>
        <v>0</v>
      </c>
      <c r="G35" s="28">
        <f>0</f>
        <v>0</v>
      </c>
      <c r="H35" s="28">
        <f>0</f>
        <v>0</v>
      </c>
      <c r="I35" s="29">
        <f>0</f>
        <v>0</v>
      </c>
      <c r="J35" s="30">
        <f>0</f>
        <v>0</v>
      </c>
      <c r="K35" s="31">
        <f>0</f>
        <v>0</v>
      </c>
      <c r="L35" s="31">
        <f>0</f>
        <v>0</v>
      </c>
      <c r="M35" s="31">
        <f>0</f>
        <v>0</v>
      </c>
      <c r="N35" s="31">
        <f>0</f>
        <v>0</v>
      </c>
      <c r="O35" s="31">
        <f>0</f>
        <v>0</v>
      </c>
      <c r="P35" s="31">
        <f>0</f>
        <v>0</v>
      </c>
      <c r="Q35" s="31">
        <f>0</f>
        <v>0</v>
      </c>
      <c r="R35" s="31">
        <f>0</f>
        <v>0</v>
      </c>
      <c r="S35" s="31">
        <f>0</f>
        <v>0</v>
      </c>
    </row>
    <row r="36" spans="1:19" ht="15" customHeight="1" outlineLevel="2">
      <c r="A36" s="24" t="s">
        <v>68</v>
      </c>
      <c r="B36" s="25"/>
      <c r="C36" s="26" t="s">
        <v>69</v>
      </c>
      <c r="D36" s="26"/>
      <c r="E36" s="26"/>
      <c r="F36" s="27">
        <f>0</f>
        <v>0</v>
      </c>
      <c r="G36" s="28">
        <f>0</f>
        <v>0</v>
      </c>
      <c r="H36" s="28">
        <f>0</f>
        <v>0</v>
      </c>
      <c r="I36" s="29">
        <f>0</f>
        <v>0</v>
      </c>
      <c r="J36" s="30">
        <f>0</f>
        <v>0</v>
      </c>
      <c r="K36" s="31">
        <f>0</f>
        <v>0</v>
      </c>
      <c r="L36" s="31">
        <f>0</f>
        <v>0</v>
      </c>
      <c r="M36" s="31">
        <f>0</f>
        <v>0</v>
      </c>
      <c r="N36" s="31">
        <f>0</f>
        <v>0</v>
      </c>
      <c r="O36" s="31">
        <f>0</f>
        <v>0</v>
      </c>
      <c r="P36" s="31">
        <f>0</f>
        <v>0</v>
      </c>
      <c r="Q36" s="31">
        <f>0</f>
        <v>0</v>
      </c>
      <c r="R36" s="31">
        <f>0</f>
        <v>0</v>
      </c>
      <c r="S36" s="31">
        <f>0</f>
        <v>0</v>
      </c>
    </row>
    <row r="37" spans="1:20" ht="15" customHeight="1" outlineLevel="1">
      <c r="A37" s="16">
        <v>6</v>
      </c>
      <c r="B37" s="17" t="s">
        <v>70</v>
      </c>
      <c r="C37" s="17"/>
      <c r="D37" s="17"/>
      <c r="E37" s="17"/>
      <c r="F37" s="18">
        <f>12848122.14</f>
        <v>12848122.14</v>
      </c>
      <c r="G37" s="19">
        <f>13906544.86</f>
        <v>13906544.86</v>
      </c>
      <c r="H37" s="19">
        <f>15821291.95</f>
        <v>15821291.95</v>
      </c>
      <c r="I37" s="20">
        <f>15503368.16</f>
        <v>15503368.16</v>
      </c>
      <c r="J37" s="21">
        <f>15503368.16</f>
        <v>15503368.16</v>
      </c>
      <c r="K37" s="22">
        <f>14203368.16</f>
        <v>14203368.16</v>
      </c>
      <c r="L37" s="22">
        <f>12353368.16</f>
        <v>12353368.16</v>
      </c>
      <c r="M37" s="22">
        <f>10353368.16</f>
        <v>10353368.16</v>
      </c>
      <c r="N37" s="22">
        <f>8153368.16</f>
        <v>8153368.16</v>
      </c>
      <c r="O37" s="22">
        <f>6053368.16</f>
        <v>6053368.16</v>
      </c>
      <c r="P37" s="22">
        <f>4053368.16</f>
        <v>4053368.16</v>
      </c>
      <c r="Q37" s="22">
        <f>2053368.16</f>
        <v>2053368.16</v>
      </c>
      <c r="R37" s="22">
        <f>1053368.16</f>
        <v>1053368.16</v>
      </c>
      <c r="S37" s="22">
        <f>0</f>
        <v>0</v>
      </c>
      <c r="T37" s="23"/>
    </row>
    <row r="38" spans="1:19" ht="34.5" customHeight="1" outlineLevel="2">
      <c r="A38" s="24" t="s">
        <v>71</v>
      </c>
      <c r="B38" s="25"/>
      <c r="C38" s="26" t="s">
        <v>72</v>
      </c>
      <c r="D38" s="26"/>
      <c r="E38" s="26"/>
      <c r="F38" s="27">
        <f>0</f>
        <v>0</v>
      </c>
      <c r="G38" s="28">
        <f>0</f>
        <v>0</v>
      </c>
      <c r="H38" s="28">
        <f>0</f>
        <v>0</v>
      </c>
      <c r="I38" s="29">
        <f>0</f>
        <v>0</v>
      </c>
      <c r="J38" s="30">
        <f>0</f>
        <v>0</v>
      </c>
      <c r="K38" s="31">
        <f>0</f>
        <v>0</v>
      </c>
      <c r="L38" s="31">
        <f>0</f>
        <v>0</v>
      </c>
      <c r="M38" s="31">
        <f>0</f>
        <v>0</v>
      </c>
      <c r="N38" s="31">
        <f>0</f>
        <v>0</v>
      </c>
      <c r="O38" s="31">
        <f>0</f>
        <v>0</v>
      </c>
      <c r="P38" s="31">
        <f>0</f>
        <v>0</v>
      </c>
      <c r="Q38" s="31">
        <f>0</f>
        <v>0</v>
      </c>
      <c r="R38" s="31">
        <f>0</f>
        <v>0</v>
      </c>
      <c r="S38" s="31">
        <f>0</f>
        <v>0</v>
      </c>
    </row>
    <row r="39" spans="1:19" ht="17.25" customHeight="1" outlineLevel="2">
      <c r="A39" s="24" t="s">
        <v>73</v>
      </c>
      <c r="B39" s="33" t="s">
        <v>74</v>
      </c>
      <c r="C39" s="33"/>
      <c r="D39" s="33"/>
      <c r="E39" s="33"/>
      <c r="F39" s="27">
        <f>0</f>
        <v>0</v>
      </c>
      <c r="G39" s="28">
        <f>0</f>
        <v>0</v>
      </c>
      <c r="H39" s="28">
        <f>0</f>
        <v>0</v>
      </c>
      <c r="I39" s="29">
        <f>0</f>
        <v>0</v>
      </c>
      <c r="J39" s="30">
        <f>0</f>
        <v>0</v>
      </c>
      <c r="K39" s="31">
        <f>0</f>
        <v>0</v>
      </c>
      <c r="L39" s="31">
        <f>0</f>
        <v>0</v>
      </c>
      <c r="M39" s="31">
        <f>0</f>
        <v>0</v>
      </c>
      <c r="N39" s="31">
        <f>0</f>
        <v>0</v>
      </c>
      <c r="O39" s="31">
        <f>0</f>
        <v>0</v>
      </c>
      <c r="P39" s="31">
        <f>0</f>
        <v>0</v>
      </c>
      <c r="Q39" s="31">
        <f>0</f>
        <v>0</v>
      </c>
      <c r="R39" s="31">
        <f>0</f>
        <v>0</v>
      </c>
      <c r="S39" s="31">
        <f>0</f>
        <v>0</v>
      </c>
    </row>
    <row r="40" spans="1:19" ht="22.5" customHeight="1" outlineLevel="2">
      <c r="A40" s="24" t="s">
        <v>75</v>
      </c>
      <c r="B40" s="25"/>
      <c r="C40" s="26" t="s">
        <v>76</v>
      </c>
      <c r="D40" s="26"/>
      <c r="E40" s="26"/>
      <c r="F40" s="38">
        <f>0.4081</f>
        <v>0.4081</v>
      </c>
      <c r="G40" s="39">
        <f>0.4477</f>
        <v>0.4477</v>
      </c>
      <c r="H40" s="39">
        <f>0.4441</f>
        <v>0.4441</v>
      </c>
      <c r="I40" s="40">
        <f>0.4502</f>
        <v>0.4502</v>
      </c>
      <c r="J40" s="41">
        <f>0.4853</f>
        <v>0.4853</v>
      </c>
      <c r="K40" s="42">
        <f>0.4623</f>
        <v>0.4623</v>
      </c>
      <c r="L40" s="42">
        <f>0.3985</f>
        <v>0.3985</v>
      </c>
      <c r="M40" s="42">
        <f>0.3287</f>
        <v>0.3287</v>
      </c>
      <c r="N40" s="42">
        <f>0.2548</f>
        <v>0.2548</v>
      </c>
      <c r="O40" s="42">
        <f>0.1863</f>
        <v>0.1863</v>
      </c>
      <c r="P40" s="42">
        <f>0.1228</f>
        <v>0.1228</v>
      </c>
      <c r="Q40" s="42">
        <f>0.0613</f>
        <v>0.0613</v>
      </c>
      <c r="R40" s="42">
        <f>0.031</f>
        <v>0.031</v>
      </c>
      <c r="S40" s="42">
        <f>0</f>
        <v>0</v>
      </c>
    </row>
    <row r="41" spans="1:19" ht="26.25" customHeight="1" outlineLevel="2">
      <c r="A41" s="24" t="s">
        <v>77</v>
      </c>
      <c r="B41" s="33" t="s">
        <v>78</v>
      </c>
      <c r="C41" s="33"/>
      <c r="D41" s="33"/>
      <c r="E41" s="33"/>
      <c r="F41" s="38">
        <f>0.4081</f>
        <v>0.4081</v>
      </c>
      <c r="G41" s="39">
        <f>0.4477</f>
        <v>0.4477</v>
      </c>
      <c r="H41" s="39">
        <f>0.4441</f>
        <v>0.4441</v>
      </c>
      <c r="I41" s="40">
        <f>0.4502</f>
        <v>0.4502</v>
      </c>
      <c r="J41" s="41">
        <f>0.4853</f>
        <v>0.4853</v>
      </c>
      <c r="K41" s="42">
        <f>0.4623</f>
        <v>0.4623</v>
      </c>
      <c r="L41" s="42">
        <f>0.3985</f>
        <v>0.3985</v>
      </c>
      <c r="M41" s="42">
        <f>0.3287</f>
        <v>0.3287</v>
      </c>
      <c r="N41" s="42">
        <f>0.2548</f>
        <v>0.2548</v>
      </c>
      <c r="O41" s="42">
        <f>0.1863</f>
        <v>0.1863</v>
      </c>
      <c r="P41" s="42">
        <f>0.1228</f>
        <v>0.1228</v>
      </c>
      <c r="Q41" s="42">
        <f>0.0613</f>
        <v>0.0613</v>
      </c>
      <c r="R41" s="42">
        <f>0.031</f>
        <v>0.031</v>
      </c>
      <c r="S41" s="42">
        <f>0</f>
        <v>0</v>
      </c>
    </row>
    <row r="42" spans="1:20" ht="32.25" customHeight="1" outlineLevel="1">
      <c r="A42" s="16">
        <v>7</v>
      </c>
      <c r="B42" s="17" t="s">
        <v>79</v>
      </c>
      <c r="C42" s="17"/>
      <c r="D42" s="17"/>
      <c r="E42" s="17"/>
      <c r="F42" s="18">
        <f>0</f>
        <v>0</v>
      </c>
      <c r="G42" s="19">
        <f>0</f>
        <v>0</v>
      </c>
      <c r="H42" s="19">
        <f>0</f>
        <v>0</v>
      </c>
      <c r="I42" s="20">
        <f>0</f>
        <v>0</v>
      </c>
      <c r="J42" s="21">
        <f>0</f>
        <v>0</v>
      </c>
      <c r="K42" s="22">
        <f>0</f>
        <v>0</v>
      </c>
      <c r="L42" s="22">
        <f>0</f>
        <v>0</v>
      </c>
      <c r="M42" s="22">
        <f>0</f>
        <v>0</v>
      </c>
      <c r="N42" s="22">
        <f>0</f>
        <v>0</v>
      </c>
      <c r="O42" s="22">
        <f>0</f>
        <v>0</v>
      </c>
      <c r="P42" s="22">
        <f>0</f>
        <v>0</v>
      </c>
      <c r="Q42" s="22">
        <f>0</f>
        <v>0</v>
      </c>
      <c r="R42" s="22">
        <f>0</f>
        <v>0</v>
      </c>
      <c r="S42" s="22">
        <f>0</f>
        <v>0</v>
      </c>
      <c r="T42" s="23"/>
    </row>
    <row r="43" spans="1:20" ht="17.25" customHeight="1" outlineLevel="1">
      <c r="A43" s="16">
        <v>8</v>
      </c>
      <c r="B43" s="17" t="s">
        <v>80</v>
      </c>
      <c r="C43" s="17"/>
      <c r="D43" s="17"/>
      <c r="E43" s="17"/>
      <c r="F43" s="43" t="s">
        <v>39</v>
      </c>
      <c r="G43" s="44" t="s">
        <v>39</v>
      </c>
      <c r="H43" s="44" t="s">
        <v>39</v>
      </c>
      <c r="I43" s="45" t="s">
        <v>39</v>
      </c>
      <c r="J43" s="46" t="s">
        <v>39</v>
      </c>
      <c r="K43" s="47" t="s">
        <v>39</v>
      </c>
      <c r="L43" s="47" t="s">
        <v>39</v>
      </c>
      <c r="M43" s="47" t="s">
        <v>39</v>
      </c>
      <c r="N43" s="47" t="s">
        <v>39</v>
      </c>
      <c r="O43" s="47" t="s">
        <v>39</v>
      </c>
      <c r="P43" s="47" t="s">
        <v>39</v>
      </c>
      <c r="Q43" s="47" t="s">
        <v>39</v>
      </c>
      <c r="R43" s="47" t="s">
        <v>39</v>
      </c>
      <c r="S43" s="47" t="s">
        <v>39</v>
      </c>
      <c r="T43" s="23"/>
    </row>
    <row r="44" spans="1:19" ht="14.25" customHeight="1" outlineLevel="2">
      <c r="A44" s="24" t="s">
        <v>81</v>
      </c>
      <c r="B44" s="25"/>
      <c r="C44" s="26" t="s">
        <v>82</v>
      </c>
      <c r="D44" s="26"/>
      <c r="E44" s="26"/>
      <c r="F44" s="27">
        <f>686104.21</f>
        <v>686104.21</v>
      </c>
      <c r="G44" s="28">
        <f>2283237.55</f>
        <v>2283237.55</v>
      </c>
      <c r="H44" s="28">
        <f>697224.01</f>
        <v>697224.01</v>
      </c>
      <c r="I44" s="29">
        <f>2632856.16</f>
        <v>2632856.16</v>
      </c>
      <c r="J44" s="30">
        <f>3620880.35</f>
        <v>3620880.35</v>
      </c>
      <c r="K44" s="31">
        <f>3843659.56</f>
        <v>3843659.56</v>
      </c>
      <c r="L44" s="31">
        <f>3850000</f>
        <v>3850000</v>
      </c>
      <c r="M44" s="31">
        <f>4080000</f>
        <v>4080000</v>
      </c>
      <c r="N44" s="31">
        <f>4210000</f>
        <v>4210000</v>
      </c>
      <c r="O44" s="31">
        <f>4270000</f>
        <v>4270000</v>
      </c>
      <c r="P44" s="31">
        <f>4330000</f>
        <v>4330000</v>
      </c>
      <c r="Q44" s="31">
        <f>4360000</f>
        <v>4360000</v>
      </c>
      <c r="R44" s="31">
        <f>4390000</f>
        <v>4390000</v>
      </c>
      <c r="S44" s="31">
        <f>4440000</f>
        <v>4440000</v>
      </c>
    </row>
    <row r="45" spans="1:19" ht="36" customHeight="1" outlineLevel="2">
      <c r="A45" s="24" t="s">
        <v>83</v>
      </c>
      <c r="B45" s="33" t="s">
        <v>84</v>
      </c>
      <c r="C45" s="33"/>
      <c r="D45" s="33"/>
      <c r="E45" s="33"/>
      <c r="F45" s="27">
        <f>686104.21</f>
        <v>686104.21</v>
      </c>
      <c r="G45" s="28">
        <f>2283237.55</f>
        <v>2283237.55</v>
      </c>
      <c r="H45" s="28">
        <f>3654017.85</f>
        <v>3654017.85</v>
      </c>
      <c r="I45" s="29">
        <f>5589650</f>
        <v>5589650</v>
      </c>
      <c r="J45" s="30">
        <f>6228291.57</f>
        <v>6228291.57</v>
      </c>
      <c r="K45" s="31">
        <f>3843659.56</f>
        <v>3843659.56</v>
      </c>
      <c r="L45" s="31">
        <f>3850000</f>
        <v>3850000</v>
      </c>
      <c r="M45" s="31">
        <f>4080000</f>
        <v>4080000</v>
      </c>
      <c r="N45" s="31">
        <f>4210000</f>
        <v>4210000</v>
      </c>
      <c r="O45" s="31">
        <f>4270000</f>
        <v>4270000</v>
      </c>
      <c r="P45" s="31">
        <f>4330000</f>
        <v>4330000</v>
      </c>
      <c r="Q45" s="31">
        <f>4360000</f>
        <v>4360000</v>
      </c>
      <c r="R45" s="31">
        <f>4390000</f>
        <v>4390000</v>
      </c>
      <c r="S45" s="31">
        <f>4440000</f>
        <v>4440000</v>
      </c>
    </row>
    <row r="46" spans="1:20" ht="15" customHeight="1" outlineLevel="1">
      <c r="A46" s="16">
        <v>9</v>
      </c>
      <c r="B46" s="17" t="s">
        <v>85</v>
      </c>
      <c r="C46" s="17"/>
      <c r="D46" s="17"/>
      <c r="E46" s="17"/>
      <c r="F46" s="43" t="s">
        <v>39</v>
      </c>
      <c r="G46" s="44" t="s">
        <v>39</v>
      </c>
      <c r="H46" s="44" t="s">
        <v>39</v>
      </c>
      <c r="I46" s="45" t="s">
        <v>39</v>
      </c>
      <c r="J46" s="46" t="s">
        <v>39</v>
      </c>
      <c r="K46" s="47" t="s">
        <v>39</v>
      </c>
      <c r="L46" s="47" t="s">
        <v>39</v>
      </c>
      <c r="M46" s="47" t="s">
        <v>39</v>
      </c>
      <c r="N46" s="47" t="s">
        <v>39</v>
      </c>
      <c r="O46" s="47" t="s">
        <v>39</v>
      </c>
      <c r="P46" s="47" t="s">
        <v>39</v>
      </c>
      <c r="Q46" s="47" t="s">
        <v>39</v>
      </c>
      <c r="R46" s="47" t="s">
        <v>39</v>
      </c>
      <c r="S46" s="47" t="s">
        <v>39</v>
      </c>
      <c r="T46" s="23"/>
    </row>
    <row r="47" spans="1:19" ht="35.25" customHeight="1" outlineLevel="2">
      <c r="A47" s="24" t="s">
        <v>86</v>
      </c>
      <c r="B47" s="25"/>
      <c r="C47" s="26" t="s">
        <v>87</v>
      </c>
      <c r="D47" s="26"/>
      <c r="E47" s="26"/>
      <c r="F47" s="38">
        <f>0.0756</f>
        <v>0.0756</v>
      </c>
      <c r="G47" s="39">
        <f>0.1061</f>
        <v>0.1061</v>
      </c>
      <c r="H47" s="39">
        <f>0.0797</f>
        <v>0.0797</v>
      </c>
      <c r="I47" s="40">
        <f>0.0782</f>
        <v>0.0782</v>
      </c>
      <c r="J47" s="41">
        <f>0.1006</f>
        <v>0.1006</v>
      </c>
      <c r="K47" s="42">
        <f>0.0703</f>
        <v>0.0703</v>
      </c>
      <c r="L47" s="42">
        <f>0.0842</f>
        <v>0.0842</v>
      </c>
      <c r="M47" s="42">
        <f>0.0803</f>
        <v>0.0803</v>
      </c>
      <c r="N47" s="42">
        <f>0.0813</f>
        <v>0.0813</v>
      </c>
      <c r="O47" s="42">
        <f>0.0751</f>
        <v>0.0751</v>
      </c>
      <c r="P47" s="42">
        <f>0.0691</f>
        <v>0.0691</v>
      </c>
      <c r="Q47" s="42">
        <f>0.0672</f>
        <v>0.0672</v>
      </c>
      <c r="R47" s="42">
        <f>0.0356</f>
        <v>0.0356</v>
      </c>
      <c r="S47" s="42">
        <f>0.034</f>
        <v>0.034</v>
      </c>
    </row>
    <row r="48" spans="1:19" ht="35.25" customHeight="1" outlineLevel="2">
      <c r="A48" s="24" t="s">
        <v>88</v>
      </c>
      <c r="B48" s="33" t="s">
        <v>89</v>
      </c>
      <c r="C48" s="33"/>
      <c r="D48" s="33"/>
      <c r="E48" s="33"/>
      <c r="F48" s="38">
        <f>0.0756</f>
        <v>0.0756</v>
      </c>
      <c r="G48" s="39">
        <f>0.1061</f>
        <v>0.1061</v>
      </c>
      <c r="H48" s="39">
        <f>0.0797</f>
        <v>0.0797</v>
      </c>
      <c r="I48" s="40">
        <f>0.0782</f>
        <v>0.0782</v>
      </c>
      <c r="J48" s="41">
        <f>0.1006</f>
        <v>0.1006</v>
      </c>
      <c r="K48" s="42">
        <f>0.0703</f>
        <v>0.0703</v>
      </c>
      <c r="L48" s="42">
        <f>0.0842</f>
        <v>0.0842</v>
      </c>
      <c r="M48" s="42">
        <f>0.0803</f>
        <v>0.0803</v>
      </c>
      <c r="N48" s="42">
        <f>0.0813</f>
        <v>0.0813</v>
      </c>
      <c r="O48" s="42">
        <f>0.0751</f>
        <v>0.0751</v>
      </c>
      <c r="P48" s="42">
        <f>0.0691</f>
        <v>0.0691</v>
      </c>
      <c r="Q48" s="42">
        <f>0.0672</f>
        <v>0.0672</v>
      </c>
      <c r="R48" s="42">
        <f>0.0356</f>
        <v>0.0356</v>
      </c>
      <c r="S48" s="42">
        <f>0.034</f>
        <v>0.034</v>
      </c>
    </row>
    <row r="49" spans="1:19" ht="49.5" customHeight="1" outlineLevel="2">
      <c r="A49" s="24" t="s">
        <v>90</v>
      </c>
      <c r="B49" s="25"/>
      <c r="C49" s="26" t="s">
        <v>91</v>
      </c>
      <c r="D49" s="26"/>
      <c r="E49" s="26"/>
      <c r="F49" s="38">
        <f>0.0756</f>
        <v>0.0756</v>
      </c>
      <c r="G49" s="39">
        <f>0.1061</f>
        <v>0.1061</v>
      </c>
      <c r="H49" s="39">
        <f>0.0797</f>
        <v>0.0797</v>
      </c>
      <c r="I49" s="40">
        <f>0.0782</f>
        <v>0.0782</v>
      </c>
      <c r="J49" s="41">
        <f>0.1006</f>
        <v>0.1006</v>
      </c>
      <c r="K49" s="42">
        <f>0.0703</f>
        <v>0.0703</v>
      </c>
      <c r="L49" s="42">
        <f>0.0842</f>
        <v>0.0842</v>
      </c>
      <c r="M49" s="42">
        <f>0.0803</f>
        <v>0.0803</v>
      </c>
      <c r="N49" s="42">
        <f>0.0813</f>
        <v>0.0813</v>
      </c>
      <c r="O49" s="42">
        <f>0.0751</f>
        <v>0.0751</v>
      </c>
      <c r="P49" s="42">
        <f>0.0691</f>
        <v>0.0691</v>
      </c>
      <c r="Q49" s="42">
        <f>0.0672</f>
        <v>0.0672</v>
      </c>
      <c r="R49" s="42">
        <f>0.0356</f>
        <v>0.0356</v>
      </c>
      <c r="S49" s="42">
        <f>0.034</f>
        <v>0.034</v>
      </c>
    </row>
    <row r="50" spans="1:19" ht="51" customHeight="1" outlineLevel="2">
      <c r="A50" s="24" t="s">
        <v>92</v>
      </c>
      <c r="B50" s="25"/>
      <c r="C50" s="26" t="s">
        <v>93</v>
      </c>
      <c r="D50" s="26"/>
      <c r="E50" s="26"/>
      <c r="F50" s="38">
        <f>0.0756</f>
        <v>0.0756</v>
      </c>
      <c r="G50" s="39">
        <f>0.1061</f>
        <v>0.1061</v>
      </c>
      <c r="H50" s="39">
        <f>0.0797</f>
        <v>0.0797</v>
      </c>
      <c r="I50" s="40">
        <f>0.0782</f>
        <v>0.0782</v>
      </c>
      <c r="J50" s="41">
        <f>0.1006</f>
        <v>0.1006</v>
      </c>
      <c r="K50" s="42">
        <f>0.0703</f>
        <v>0.0703</v>
      </c>
      <c r="L50" s="42">
        <f>0.0842</f>
        <v>0.0842</v>
      </c>
      <c r="M50" s="42">
        <f>0.0803</f>
        <v>0.0803</v>
      </c>
      <c r="N50" s="42">
        <f>0.0813</f>
        <v>0.0813</v>
      </c>
      <c r="O50" s="42">
        <f>0.0751</f>
        <v>0.0751</v>
      </c>
      <c r="P50" s="42">
        <f>0.0691</f>
        <v>0.0691</v>
      </c>
      <c r="Q50" s="42">
        <f>0.0672</f>
        <v>0.0672</v>
      </c>
      <c r="R50" s="42">
        <f>0.0356</f>
        <v>0.0356</v>
      </c>
      <c r="S50" s="42">
        <f>0.034</f>
        <v>0.034</v>
      </c>
    </row>
    <row r="51" spans="1:19" ht="36" customHeight="1" outlineLevel="2">
      <c r="A51" s="24" t="s">
        <v>94</v>
      </c>
      <c r="B51" s="33" t="s">
        <v>95</v>
      </c>
      <c r="C51" s="33"/>
      <c r="D51" s="33"/>
      <c r="E51" s="33"/>
      <c r="F51" s="27">
        <f>0</f>
        <v>0</v>
      </c>
      <c r="G51" s="28">
        <f>0</f>
        <v>0</v>
      </c>
      <c r="H51" s="28">
        <f>0</f>
        <v>0</v>
      </c>
      <c r="I51" s="29">
        <f>0</f>
        <v>0</v>
      </c>
      <c r="J51" s="30">
        <f>0</f>
        <v>0</v>
      </c>
      <c r="K51" s="31">
        <f>0</f>
        <v>0</v>
      </c>
      <c r="L51" s="31">
        <f>0</f>
        <v>0</v>
      </c>
      <c r="M51" s="31">
        <f>0</f>
        <v>0</v>
      </c>
      <c r="N51" s="31">
        <f>0</f>
        <v>0</v>
      </c>
      <c r="O51" s="31">
        <f>0</f>
        <v>0</v>
      </c>
      <c r="P51" s="31">
        <f>0</f>
        <v>0</v>
      </c>
      <c r="Q51" s="31">
        <f>0</f>
        <v>0</v>
      </c>
      <c r="R51" s="31">
        <f>0</f>
        <v>0</v>
      </c>
      <c r="S51" s="31">
        <f>0</f>
        <v>0</v>
      </c>
    </row>
    <row r="52" spans="1:19" ht="52.5" customHeight="1" outlineLevel="2">
      <c r="A52" s="24" t="s">
        <v>96</v>
      </c>
      <c r="B52" s="33" t="s">
        <v>97</v>
      </c>
      <c r="C52" s="33"/>
      <c r="D52" s="33"/>
      <c r="E52" s="33"/>
      <c r="F52" s="38">
        <f>0.0756</f>
        <v>0.0756</v>
      </c>
      <c r="G52" s="39">
        <f>0.1061</f>
        <v>0.1061</v>
      </c>
      <c r="H52" s="39">
        <f>0.0797</f>
        <v>0.0797</v>
      </c>
      <c r="I52" s="40">
        <f>0.0782</f>
        <v>0.0782</v>
      </c>
      <c r="J52" s="41">
        <f>0.1006</f>
        <v>0.1006</v>
      </c>
      <c r="K52" s="42">
        <f>0.0703</f>
        <v>0.0703</v>
      </c>
      <c r="L52" s="42">
        <f>0.0842</f>
        <v>0.0842</v>
      </c>
      <c r="M52" s="42">
        <f>0.0803</f>
        <v>0.0803</v>
      </c>
      <c r="N52" s="42">
        <f>0.0813</f>
        <v>0.0813</v>
      </c>
      <c r="O52" s="42">
        <f>0.0751</f>
        <v>0.0751</v>
      </c>
      <c r="P52" s="42">
        <f>0.0691</f>
        <v>0.0691</v>
      </c>
      <c r="Q52" s="42">
        <f>0.0672</f>
        <v>0.0672</v>
      </c>
      <c r="R52" s="42">
        <f>0.0356</f>
        <v>0.0356</v>
      </c>
      <c r="S52" s="42">
        <f>0.034</f>
        <v>0.034</v>
      </c>
    </row>
    <row r="53" spans="1:19" ht="15" customHeight="1" outlineLevel="3">
      <c r="A53" s="48" t="s">
        <v>98</v>
      </c>
      <c r="B53" s="49"/>
      <c r="C53" s="50"/>
      <c r="D53" s="51" t="s">
        <v>99</v>
      </c>
      <c r="E53" s="52"/>
      <c r="F53" s="38">
        <f>+IF(F3&lt;&gt;0,(F4+F12-F15)/F3,0)</f>
        <v>0.06426086160724892</v>
      </c>
      <c r="G53" s="39">
        <f>+IF(G3&lt;&gt;0,(G4+G12-G15)/G3,0)</f>
        <v>0.07433958173302047</v>
      </c>
      <c r="H53" s="39">
        <f>+IF(H3&lt;&gt;0,(H4+H12-H15)/H3,0)</f>
        <v>0.022378770663430053</v>
      </c>
      <c r="I53" s="40">
        <f>+IF(I3&lt;&gt;0,(I4+I12-I15)/I3,0)</f>
        <v>0.08109386139389256</v>
      </c>
      <c r="J53" s="41">
        <f>+IF(J3&lt;&gt;0,(J4+J12-J15)/J3,0)</f>
        <v>0.11726598745393804</v>
      </c>
      <c r="K53" s="42">
        <f aca="true" t="shared" si="1" ref="K53:S53">+IF(K3&lt;&gt;0,(K4+K12-K15)/K3,0)</f>
        <v>0.1251085592308034</v>
      </c>
      <c r="L53" s="42">
        <f t="shared" si="1"/>
        <v>0.12419354838709677</v>
      </c>
      <c r="M53" s="42">
        <f t="shared" si="1"/>
        <v>0.1295238095238095</v>
      </c>
      <c r="N53" s="42">
        <f t="shared" si="1"/>
        <v>0.1315625</v>
      </c>
      <c r="O53" s="42">
        <f t="shared" si="1"/>
        <v>0.13138461538461538</v>
      </c>
      <c r="P53" s="42">
        <f t="shared" si="1"/>
        <v>0.13121212121212122</v>
      </c>
      <c r="Q53" s="42">
        <f t="shared" si="1"/>
        <v>0.13014925373134328</v>
      </c>
      <c r="R53" s="42">
        <f t="shared" si="1"/>
        <v>0.12911764705882353</v>
      </c>
      <c r="S53" s="42">
        <f t="shared" si="1"/>
        <v>0.12869565217391304</v>
      </c>
    </row>
    <row r="54" spans="1:19" ht="46.5" customHeight="1" outlineLevel="2">
      <c r="A54" s="24" t="s">
        <v>100</v>
      </c>
      <c r="B54" s="25"/>
      <c r="C54" s="26" t="s">
        <v>101</v>
      </c>
      <c r="D54" s="26"/>
      <c r="E54" s="26"/>
      <c r="F54" s="38">
        <f>0</f>
        <v>0</v>
      </c>
      <c r="G54" s="39">
        <f>0</f>
        <v>0</v>
      </c>
      <c r="H54" s="39">
        <f>0</f>
        <v>0</v>
      </c>
      <c r="I54" s="40">
        <f>0</f>
        <v>0</v>
      </c>
      <c r="J54" s="41">
        <f>0.0537</f>
        <v>0.0537</v>
      </c>
      <c r="K54" s="42">
        <f>0.0713</f>
        <v>0.0713</v>
      </c>
      <c r="L54" s="42">
        <f>0.0883</f>
        <v>0.0883</v>
      </c>
      <c r="M54" s="42">
        <f>0.1222</f>
        <v>0.1222</v>
      </c>
      <c r="N54" s="42">
        <f>0.1263</f>
        <v>0.1263</v>
      </c>
      <c r="O54" s="42">
        <f>0.1284</f>
        <v>0.1284</v>
      </c>
      <c r="P54" s="42">
        <f>0.1308</f>
        <v>0.1308</v>
      </c>
      <c r="Q54" s="42">
        <f>0.1314</f>
        <v>0.1314</v>
      </c>
      <c r="R54" s="42">
        <f>0.1309</f>
        <v>0.1309</v>
      </c>
      <c r="S54" s="42">
        <f>0.1301</f>
        <v>0.1301</v>
      </c>
    </row>
    <row r="55" spans="1:19" ht="51" customHeight="1" outlineLevel="2">
      <c r="A55" s="24" t="s">
        <v>102</v>
      </c>
      <c r="B55" s="25"/>
      <c r="C55" s="32"/>
      <c r="D55" s="26" t="s">
        <v>103</v>
      </c>
      <c r="E55" s="26"/>
      <c r="F55" s="38">
        <f>0</f>
        <v>0</v>
      </c>
      <c r="G55" s="39">
        <f>0</f>
        <v>0</v>
      </c>
      <c r="H55" s="39">
        <f>0</f>
        <v>0</v>
      </c>
      <c r="I55" s="40">
        <f>0</f>
        <v>0</v>
      </c>
      <c r="J55" s="41">
        <f>0.0732</f>
        <v>0.0732</v>
      </c>
      <c r="K55" s="42">
        <f>0.0909</f>
        <v>0.0909</v>
      </c>
      <c r="L55" s="42">
        <f>0.1078</f>
        <v>0.1078</v>
      </c>
      <c r="M55" s="42">
        <f>0.1222</f>
        <v>0.1222</v>
      </c>
      <c r="N55" s="42">
        <f>0.1263</f>
        <v>0.1263</v>
      </c>
      <c r="O55" s="42">
        <f>0.1284</f>
        <v>0.1284</v>
      </c>
      <c r="P55" s="42">
        <f>0.1308</f>
        <v>0.1308</v>
      </c>
      <c r="Q55" s="42">
        <f>0.1314</f>
        <v>0.1314</v>
      </c>
      <c r="R55" s="42">
        <f>0.1309</f>
        <v>0.1309</v>
      </c>
      <c r="S55" s="42">
        <f>0.1301</f>
        <v>0.1301</v>
      </c>
    </row>
    <row r="56" spans="1:19" ht="60.75" customHeight="1" outlineLevel="2">
      <c r="A56" s="24" t="s">
        <v>104</v>
      </c>
      <c r="B56" s="25"/>
      <c r="C56" s="26" t="s">
        <v>105</v>
      </c>
      <c r="D56" s="26"/>
      <c r="E56" s="26"/>
      <c r="F56" s="43" t="s">
        <v>39</v>
      </c>
      <c r="G56" s="44" t="s">
        <v>39</v>
      </c>
      <c r="H56" s="44" t="s">
        <v>39</v>
      </c>
      <c r="I56" s="45" t="s">
        <v>39</v>
      </c>
      <c r="J56" s="53" t="str">
        <f>IF(J52&lt;=J54,"Spełniona","Nie spełniona")</f>
        <v>Nie spełniona</v>
      </c>
      <c r="K56" s="54" t="str">
        <f aca="true" t="shared" si="2" ref="K56:S56">IF(K52&lt;=K54,"Spełniona","Nie spełniona")</f>
        <v>Spełniona</v>
      </c>
      <c r="L56" s="54" t="str">
        <f t="shared" si="2"/>
        <v>Spełniona</v>
      </c>
      <c r="M56" s="54" t="str">
        <f t="shared" si="2"/>
        <v>Spełniona</v>
      </c>
      <c r="N56" s="54" t="str">
        <f t="shared" si="2"/>
        <v>Spełniona</v>
      </c>
      <c r="O56" s="54" t="str">
        <f t="shared" si="2"/>
        <v>Spełniona</v>
      </c>
      <c r="P56" s="54" t="str">
        <f t="shared" si="2"/>
        <v>Spełniona</v>
      </c>
      <c r="Q56" s="54" t="str">
        <f t="shared" si="2"/>
        <v>Spełniona</v>
      </c>
      <c r="R56" s="54" t="str">
        <f t="shared" si="2"/>
        <v>Spełniona</v>
      </c>
      <c r="S56" s="54" t="str">
        <f t="shared" si="2"/>
        <v>Spełniona</v>
      </c>
    </row>
    <row r="57" spans="1:19" ht="57.75" customHeight="1" outlineLevel="2">
      <c r="A57" s="24" t="s">
        <v>106</v>
      </c>
      <c r="B57" s="25"/>
      <c r="C57" s="32"/>
      <c r="D57" s="26" t="s">
        <v>107</v>
      </c>
      <c r="E57" s="26"/>
      <c r="F57" s="43" t="s">
        <v>39</v>
      </c>
      <c r="G57" s="44" t="s">
        <v>39</v>
      </c>
      <c r="H57" s="44" t="s">
        <v>39</v>
      </c>
      <c r="I57" s="45" t="s">
        <v>39</v>
      </c>
      <c r="J57" s="53" t="str">
        <f>IF(J52&lt;=J55,"Spełniona","Nie spełniona")</f>
        <v>Nie spełniona</v>
      </c>
      <c r="K57" s="54" t="str">
        <f aca="true" t="shared" si="3" ref="K57:S57">IF(K52&lt;=K55,"Spełniona","Nie spełniona")</f>
        <v>Spełniona</v>
      </c>
      <c r="L57" s="54" t="str">
        <f t="shared" si="3"/>
        <v>Spełniona</v>
      </c>
      <c r="M57" s="54" t="str">
        <f t="shared" si="3"/>
        <v>Spełniona</v>
      </c>
      <c r="N57" s="54" t="str">
        <f t="shared" si="3"/>
        <v>Spełniona</v>
      </c>
      <c r="O57" s="54" t="str">
        <f t="shared" si="3"/>
        <v>Spełniona</v>
      </c>
      <c r="P57" s="54" t="str">
        <f t="shared" si="3"/>
        <v>Spełniona</v>
      </c>
      <c r="Q57" s="54" t="str">
        <f t="shared" si="3"/>
        <v>Spełniona</v>
      </c>
      <c r="R57" s="54" t="str">
        <f t="shared" si="3"/>
        <v>Spełniona</v>
      </c>
      <c r="S57" s="54" t="str">
        <f t="shared" si="3"/>
        <v>Spełniona</v>
      </c>
    </row>
    <row r="58" spans="1:20" ht="15" customHeight="1" outlineLevel="1">
      <c r="A58" s="16">
        <v>10</v>
      </c>
      <c r="B58" s="17" t="s">
        <v>108</v>
      </c>
      <c r="C58" s="17"/>
      <c r="D58" s="17"/>
      <c r="E58" s="17"/>
      <c r="F58" s="18">
        <f>0</f>
        <v>0</v>
      </c>
      <c r="G58" s="19">
        <f>0</f>
        <v>0</v>
      </c>
      <c r="H58" s="19">
        <f>0</f>
        <v>0</v>
      </c>
      <c r="I58" s="20">
        <f>0</f>
        <v>0</v>
      </c>
      <c r="J58" s="21">
        <f>0</f>
        <v>0</v>
      </c>
      <c r="K58" s="22">
        <f>1300000</f>
        <v>1300000</v>
      </c>
      <c r="L58" s="22">
        <f>1850000</f>
        <v>1850000</v>
      </c>
      <c r="M58" s="22">
        <f>2000000</f>
        <v>2000000</v>
      </c>
      <c r="N58" s="22">
        <f>2200000</f>
        <v>2200000</v>
      </c>
      <c r="O58" s="22">
        <f>2100000</f>
        <v>2100000</v>
      </c>
      <c r="P58" s="22">
        <f>2000000</f>
        <v>2000000</v>
      </c>
      <c r="Q58" s="22">
        <f>2000000</f>
        <v>2000000</v>
      </c>
      <c r="R58" s="22">
        <f>1000000</f>
        <v>1000000</v>
      </c>
      <c r="S58" s="22">
        <f>1023368.16</f>
        <v>1023368.16</v>
      </c>
      <c r="T58" s="23"/>
    </row>
    <row r="59" spans="1:19" ht="15" customHeight="1" outlineLevel="2">
      <c r="A59" s="24" t="s">
        <v>109</v>
      </c>
      <c r="B59" s="25"/>
      <c r="C59" s="26" t="s">
        <v>110</v>
      </c>
      <c r="D59" s="26"/>
      <c r="E59" s="26"/>
      <c r="F59" s="27">
        <f>0</f>
        <v>0</v>
      </c>
      <c r="G59" s="28">
        <f>0</f>
        <v>0</v>
      </c>
      <c r="H59" s="28">
        <f>0</f>
        <v>0</v>
      </c>
      <c r="I59" s="29">
        <f>0</f>
        <v>0</v>
      </c>
      <c r="J59" s="30">
        <f>0</f>
        <v>0</v>
      </c>
      <c r="K59" s="31">
        <f>0</f>
        <v>0</v>
      </c>
      <c r="L59" s="31">
        <f>0</f>
        <v>0</v>
      </c>
      <c r="M59" s="31">
        <f>0</f>
        <v>0</v>
      </c>
      <c r="N59" s="31">
        <f>0</f>
        <v>0</v>
      </c>
      <c r="O59" s="31">
        <f>0</f>
        <v>0</v>
      </c>
      <c r="P59" s="31">
        <f>0</f>
        <v>0</v>
      </c>
      <c r="Q59" s="31">
        <f>0</f>
        <v>0</v>
      </c>
      <c r="R59" s="31">
        <f>0</f>
        <v>0</v>
      </c>
      <c r="S59" s="31">
        <f>0</f>
        <v>0</v>
      </c>
    </row>
    <row r="60" spans="1:20" ht="15" customHeight="1" outlineLevel="1">
      <c r="A60" s="16">
        <v>11</v>
      </c>
      <c r="B60" s="17" t="s">
        <v>111</v>
      </c>
      <c r="C60" s="17"/>
      <c r="D60" s="17"/>
      <c r="E60" s="17"/>
      <c r="F60" s="43" t="s">
        <v>39</v>
      </c>
      <c r="G60" s="44" t="s">
        <v>39</v>
      </c>
      <c r="H60" s="44" t="s">
        <v>39</v>
      </c>
      <c r="I60" s="45" t="s">
        <v>39</v>
      </c>
      <c r="J60" s="46" t="s">
        <v>39</v>
      </c>
      <c r="K60" s="47" t="s">
        <v>39</v>
      </c>
      <c r="L60" s="47" t="s">
        <v>39</v>
      </c>
      <c r="M60" s="47" t="s">
        <v>39</v>
      </c>
      <c r="N60" s="47" t="s">
        <v>39</v>
      </c>
      <c r="O60" s="47" t="s">
        <v>39</v>
      </c>
      <c r="P60" s="47" t="s">
        <v>39</v>
      </c>
      <c r="Q60" s="47" t="s">
        <v>39</v>
      </c>
      <c r="R60" s="47" t="s">
        <v>39</v>
      </c>
      <c r="S60" s="47" t="s">
        <v>39</v>
      </c>
      <c r="T60" s="23"/>
    </row>
    <row r="61" spans="1:19" ht="15" customHeight="1" outlineLevel="2">
      <c r="A61" s="24" t="s">
        <v>112</v>
      </c>
      <c r="B61" s="25"/>
      <c r="C61" s="26" t="s">
        <v>113</v>
      </c>
      <c r="D61" s="26"/>
      <c r="E61" s="26"/>
      <c r="F61" s="27">
        <f>10915139.42</f>
        <v>10915139.42</v>
      </c>
      <c r="G61" s="28">
        <f>0</f>
        <v>0</v>
      </c>
      <c r="H61" s="28">
        <f>12203062</f>
        <v>12203062</v>
      </c>
      <c r="I61" s="29">
        <f>12006826.01</f>
        <v>12006826.01</v>
      </c>
      <c r="J61" s="30">
        <f>12435739</f>
        <v>12435739</v>
      </c>
      <c r="K61" s="31">
        <f>12400000</f>
        <v>12400000</v>
      </c>
      <c r="L61" s="31">
        <f>12800000</f>
        <v>12800000</v>
      </c>
      <c r="M61" s="31">
        <f>13000000</f>
        <v>13000000</v>
      </c>
      <c r="N61" s="31">
        <f>13200000</f>
        <v>13200000</v>
      </c>
      <c r="O61" s="31">
        <f>13400000</f>
        <v>13400000</v>
      </c>
      <c r="P61" s="31">
        <f>13600000</f>
        <v>13600000</v>
      </c>
      <c r="Q61" s="31">
        <f>13800000</f>
        <v>13800000</v>
      </c>
      <c r="R61" s="31">
        <f>14000000</f>
        <v>14000000</v>
      </c>
      <c r="S61" s="31">
        <f>14251000</f>
        <v>14251000</v>
      </c>
    </row>
    <row r="62" spans="1:19" ht="15" customHeight="1" outlineLevel="2">
      <c r="A62" s="24" t="s">
        <v>114</v>
      </c>
      <c r="B62" s="25"/>
      <c r="C62" s="26" t="s">
        <v>115</v>
      </c>
      <c r="D62" s="26"/>
      <c r="E62" s="26"/>
      <c r="F62" s="27">
        <f>0</f>
        <v>0</v>
      </c>
      <c r="G62" s="28">
        <f>0</f>
        <v>0</v>
      </c>
      <c r="H62" s="28">
        <f>0</f>
        <v>0</v>
      </c>
      <c r="I62" s="29">
        <f>0</f>
        <v>0</v>
      </c>
      <c r="J62" s="30">
        <f>14011836.16</f>
        <v>14011836.16</v>
      </c>
      <c r="K62" s="31">
        <f>0</f>
        <v>0</v>
      </c>
      <c r="L62" s="31">
        <f>0</f>
        <v>0</v>
      </c>
      <c r="M62" s="31">
        <f>0</f>
        <v>0</v>
      </c>
      <c r="N62" s="31">
        <f>0</f>
        <v>0</v>
      </c>
      <c r="O62" s="31">
        <f>0</f>
        <v>0</v>
      </c>
      <c r="P62" s="31">
        <f>0</f>
        <v>0</v>
      </c>
      <c r="Q62" s="31">
        <f>0</f>
        <v>0</v>
      </c>
      <c r="R62" s="31">
        <f>0</f>
        <v>0</v>
      </c>
      <c r="S62" s="31">
        <f>0</f>
        <v>0</v>
      </c>
    </row>
    <row r="63" spans="1:19" ht="15" customHeight="1" outlineLevel="2">
      <c r="A63" s="24" t="s">
        <v>116</v>
      </c>
      <c r="B63" s="25"/>
      <c r="C63" s="26" t="s">
        <v>117</v>
      </c>
      <c r="D63" s="26"/>
      <c r="E63" s="26"/>
      <c r="F63" s="27">
        <f>0</f>
        <v>0</v>
      </c>
      <c r="G63" s="28">
        <f>0</f>
        <v>0</v>
      </c>
      <c r="H63" s="28">
        <f>1841325</f>
        <v>1841325</v>
      </c>
      <c r="I63" s="29">
        <f>0</f>
        <v>0</v>
      </c>
      <c r="J63" s="30">
        <f>2856092.26</f>
        <v>2856092.26</v>
      </c>
      <c r="K63" s="31">
        <f>1177610.38</f>
        <v>1177610.38</v>
      </c>
      <c r="L63" s="31">
        <f>179052.82</f>
        <v>179052.82</v>
      </c>
      <c r="M63" s="31">
        <f>56</f>
        <v>56</v>
      </c>
      <c r="N63" s="31">
        <f>56</f>
        <v>56</v>
      </c>
      <c r="O63" s="31">
        <f>56</f>
        <v>56</v>
      </c>
      <c r="P63" s="31">
        <f>56</f>
        <v>56</v>
      </c>
      <c r="Q63" s="31">
        <f>20</f>
        <v>20</v>
      </c>
      <c r="R63" s="31">
        <f>0</f>
        <v>0</v>
      </c>
      <c r="S63" s="31">
        <f>0</f>
        <v>0</v>
      </c>
    </row>
    <row r="64" spans="1:19" ht="15" customHeight="1" outlineLevel="2">
      <c r="A64" s="24" t="s">
        <v>118</v>
      </c>
      <c r="B64" s="25"/>
      <c r="C64" s="32"/>
      <c r="D64" s="26" t="s">
        <v>119</v>
      </c>
      <c r="E64" s="26"/>
      <c r="F64" s="27">
        <f>0</f>
        <v>0</v>
      </c>
      <c r="G64" s="28">
        <f>0</f>
        <v>0</v>
      </c>
      <c r="H64" s="28">
        <f>994525</f>
        <v>994525</v>
      </c>
      <c r="I64" s="29">
        <f>0</f>
        <v>0</v>
      </c>
      <c r="J64" s="30">
        <f>1008437.56</f>
        <v>1008437.56</v>
      </c>
      <c r="K64" s="31">
        <f>554030.08</f>
        <v>554030.08</v>
      </c>
      <c r="L64" s="31">
        <f>179052.82</f>
        <v>179052.82</v>
      </c>
      <c r="M64" s="31">
        <f>56</f>
        <v>56</v>
      </c>
      <c r="N64" s="31">
        <f>56</f>
        <v>56</v>
      </c>
      <c r="O64" s="31">
        <f>56</f>
        <v>56</v>
      </c>
      <c r="P64" s="31">
        <f>56</f>
        <v>56</v>
      </c>
      <c r="Q64" s="31">
        <f>20</f>
        <v>20</v>
      </c>
      <c r="R64" s="31">
        <f>0</f>
        <v>0</v>
      </c>
      <c r="S64" s="31">
        <f>0</f>
        <v>0</v>
      </c>
    </row>
    <row r="65" spans="1:19" ht="15" customHeight="1" outlineLevel="2">
      <c r="A65" s="24" t="s">
        <v>120</v>
      </c>
      <c r="B65" s="25"/>
      <c r="C65" s="32"/>
      <c r="D65" s="26" t="s">
        <v>121</v>
      </c>
      <c r="E65" s="26"/>
      <c r="F65" s="27">
        <f>0</f>
        <v>0</v>
      </c>
      <c r="G65" s="28">
        <f>0</f>
        <v>0</v>
      </c>
      <c r="H65" s="28">
        <f>846800</f>
        <v>846800</v>
      </c>
      <c r="I65" s="29">
        <f>0</f>
        <v>0</v>
      </c>
      <c r="J65" s="30">
        <f>1847654.7</f>
        <v>1847654.7</v>
      </c>
      <c r="K65" s="31">
        <f>623580.3</f>
        <v>623580.3</v>
      </c>
      <c r="L65" s="31">
        <f>0</f>
        <v>0</v>
      </c>
      <c r="M65" s="31">
        <f>0</f>
        <v>0</v>
      </c>
      <c r="N65" s="31">
        <f>0</f>
        <v>0</v>
      </c>
      <c r="O65" s="31">
        <f>0</f>
        <v>0</v>
      </c>
      <c r="P65" s="31">
        <f>0</f>
        <v>0</v>
      </c>
      <c r="Q65" s="31">
        <f>0</f>
        <v>0</v>
      </c>
      <c r="R65" s="31">
        <f>0</f>
        <v>0</v>
      </c>
      <c r="S65" s="31">
        <f>0</f>
        <v>0</v>
      </c>
    </row>
    <row r="66" spans="1:19" ht="15" customHeight="1" outlineLevel="2">
      <c r="A66" s="24" t="s">
        <v>122</v>
      </c>
      <c r="B66" s="25"/>
      <c r="C66" s="26" t="s">
        <v>123</v>
      </c>
      <c r="D66" s="26"/>
      <c r="E66" s="26"/>
      <c r="F66" s="27">
        <f>0</f>
        <v>0</v>
      </c>
      <c r="G66" s="28">
        <f>0</f>
        <v>0</v>
      </c>
      <c r="H66" s="28">
        <f>0</f>
        <v>0</v>
      </c>
      <c r="I66" s="29">
        <f>0</f>
        <v>0</v>
      </c>
      <c r="J66" s="30">
        <f>4472632.58</f>
        <v>4472632.58</v>
      </c>
      <c r="K66" s="31">
        <f>0</f>
        <v>0</v>
      </c>
      <c r="L66" s="31">
        <f>0</f>
        <v>0</v>
      </c>
      <c r="M66" s="31">
        <f>0</f>
        <v>0</v>
      </c>
      <c r="N66" s="31">
        <f>0</f>
        <v>0</v>
      </c>
      <c r="O66" s="31">
        <f>0</f>
        <v>0</v>
      </c>
      <c r="P66" s="31">
        <f>0</f>
        <v>0</v>
      </c>
      <c r="Q66" s="31">
        <f>0</f>
        <v>0</v>
      </c>
      <c r="R66" s="31">
        <f>0</f>
        <v>0</v>
      </c>
      <c r="S66" s="31">
        <f>0</f>
        <v>0</v>
      </c>
    </row>
    <row r="67" spans="1:19" ht="15" customHeight="1" outlineLevel="2">
      <c r="A67" s="24" t="s">
        <v>124</v>
      </c>
      <c r="B67" s="25"/>
      <c r="C67" s="26" t="s">
        <v>125</v>
      </c>
      <c r="D67" s="26"/>
      <c r="E67" s="26"/>
      <c r="F67" s="27">
        <f>0</f>
        <v>0</v>
      </c>
      <c r="G67" s="28">
        <f>0</f>
        <v>0</v>
      </c>
      <c r="H67" s="28">
        <f>0</f>
        <v>0</v>
      </c>
      <c r="I67" s="29">
        <f>0</f>
        <v>0</v>
      </c>
      <c r="J67" s="30">
        <f>2390654.7</f>
        <v>2390654.7</v>
      </c>
      <c r="K67" s="31">
        <f>0</f>
        <v>0</v>
      </c>
      <c r="L67" s="31">
        <f>0</f>
        <v>0</v>
      </c>
      <c r="M67" s="31">
        <f>0</f>
        <v>0</v>
      </c>
      <c r="N67" s="31">
        <f>0</f>
        <v>0</v>
      </c>
      <c r="O67" s="31">
        <f>0</f>
        <v>0</v>
      </c>
      <c r="P67" s="31">
        <f>0</f>
        <v>0</v>
      </c>
      <c r="Q67" s="31">
        <f>0</f>
        <v>0</v>
      </c>
      <c r="R67" s="31">
        <f>0</f>
        <v>0</v>
      </c>
      <c r="S67" s="31">
        <f>0</f>
        <v>0</v>
      </c>
    </row>
    <row r="68" spans="1:19" ht="15" customHeight="1" outlineLevel="2">
      <c r="A68" s="24" t="s">
        <v>126</v>
      </c>
      <c r="B68" s="25"/>
      <c r="C68" s="26" t="s">
        <v>127</v>
      </c>
      <c r="D68" s="26"/>
      <c r="E68" s="26"/>
      <c r="F68" s="27">
        <f>0</f>
        <v>0</v>
      </c>
      <c r="G68" s="28">
        <f>0</f>
        <v>0</v>
      </c>
      <c r="H68" s="28">
        <f>0</f>
        <v>0</v>
      </c>
      <c r="I68" s="29">
        <f>0</f>
        <v>0</v>
      </c>
      <c r="J68" s="30">
        <f>250000</f>
        <v>250000</v>
      </c>
      <c r="K68" s="31">
        <f>0</f>
        <v>0</v>
      </c>
      <c r="L68" s="31">
        <f>0</f>
        <v>0</v>
      </c>
      <c r="M68" s="31">
        <f>0</f>
        <v>0</v>
      </c>
      <c r="N68" s="31">
        <f>0</f>
        <v>0</v>
      </c>
      <c r="O68" s="31">
        <f>0</f>
        <v>0</v>
      </c>
      <c r="P68" s="31">
        <f>0</f>
        <v>0</v>
      </c>
      <c r="Q68" s="31">
        <f>0</f>
        <v>0</v>
      </c>
      <c r="R68" s="31">
        <f>0</f>
        <v>0</v>
      </c>
      <c r="S68" s="31">
        <f>0</f>
        <v>0</v>
      </c>
    </row>
    <row r="69" spans="1:20" ht="26.25" customHeight="1" outlineLevel="1">
      <c r="A69" s="16">
        <v>12</v>
      </c>
      <c r="B69" s="17" t="s">
        <v>128</v>
      </c>
      <c r="C69" s="17"/>
      <c r="D69" s="17"/>
      <c r="E69" s="17"/>
      <c r="F69" s="43" t="s">
        <v>39</v>
      </c>
      <c r="G69" s="44" t="s">
        <v>39</v>
      </c>
      <c r="H69" s="44" t="s">
        <v>39</v>
      </c>
      <c r="I69" s="45" t="s">
        <v>39</v>
      </c>
      <c r="J69" s="46" t="s">
        <v>39</v>
      </c>
      <c r="K69" s="47" t="s">
        <v>39</v>
      </c>
      <c r="L69" s="47" t="s">
        <v>39</v>
      </c>
      <c r="M69" s="47" t="s">
        <v>39</v>
      </c>
      <c r="N69" s="47" t="s">
        <v>39</v>
      </c>
      <c r="O69" s="47" t="s">
        <v>39</v>
      </c>
      <c r="P69" s="47" t="s">
        <v>39</v>
      </c>
      <c r="Q69" s="47" t="s">
        <v>39</v>
      </c>
      <c r="R69" s="47" t="s">
        <v>39</v>
      </c>
      <c r="S69" s="47" t="s">
        <v>39</v>
      </c>
      <c r="T69" s="23"/>
    </row>
    <row r="70" spans="1:19" ht="25.5" customHeight="1" outlineLevel="2">
      <c r="A70" s="24" t="s">
        <v>129</v>
      </c>
      <c r="B70" s="25"/>
      <c r="C70" s="26" t="s">
        <v>130</v>
      </c>
      <c r="D70" s="26"/>
      <c r="E70" s="26"/>
      <c r="F70" s="27">
        <f>0</f>
        <v>0</v>
      </c>
      <c r="G70" s="28">
        <f>0</f>
        <v>0</v>
      </c>
      <c r="H70" s="28">
        <f>0</f>
        <v>0</v>
      </c>
      <c r="I70" s="29">
        <f>931390.39</f>
        <v>931390.39</v>
      </c>
      <c r="J70" s="30">
        <f>1503034.46</f>
        <v>1503034.46</v>
      </c>
      <c r="K70" s="31">
        <f>222594.71</f>
        <v>222594.71</v>
      </c>
      <c r="L70" s="31">
        <f>0</f>
        <v>0</v>
      </c>
      <c r="M70" s="31">
        <f>0</f>
        <v>0</v>
      </c>
      <c r="N70" s="31">
        <f>0</f>
        <v>0</v>
      </c>
      <c r="O70" s="31">
        <f>0</f>
        <v>0</v>
      </c>
      <c r="P70" s="31">
        <f>0</f>
        <v>0</v>
      </c>
      <c r="Q70" s="31">
        <f>0</f>
        <v>0</v>
      </c>
      <c r="R70" s="31">
        <f>0</f>
        <v>0</v>
      </c>
      <c r="S70" s="31">
        <f>0</f>
        <v>0</v>
      </c>
    </row>
    <row r="71" spans="1:19" ht="15" customHeight="1" outlineLevel="2">
      <c r="A71" s="24" t="s">
        <v>131</v>
      </c>
      <c r="B71" s="25"/>
      <c r="C71" s="32"/>
      <c r="D71" s="26" t="s">
        <v>132</v>
      </c>
      <c r="E71" s="26"/>
      <c r="F71" s="27">
        <f>965905.76</f>
        <v>965905.76</v>
      </c>
      <c r="G71" s="28">
        <f>0</f>
        <v>0</v>
      </c>
      <c r="H71" s="28">
        <f>0</f>
        <v>0</v>
      </c>
      <c r="I71" s="29">
        <f>931390.39</f>
        <v>931390.39</v>
      </c>
      <c r="J71" s="30">
        <f>1503034.46</f>
        <v>1503034.46</v>
      </c>
      <c r="K71" s="31">
        <f>222594.71</f>
        <v>222594.71</v>
      </c>
      <c r="L71" s="31">
        <f>0</f>
        <v>0</v>
      </c>
      <c r="M71" s="31">
        <f>0</f>
        <v>0</v>
      </c>
      <c r="N71" s="31">
        <f>0</f>
        <v>0</v>
      </c>
      <c r="O71" s="31">
        <f>0</f>
        <v>0</v>
      </c>
      <c r="P71" s="31">
        <f>0</f>
        <v>0</v>
      </c>
      <c r="Q71" s="31">
        <f>0</f>
        <v>0</v>
      </c>
      <c r="R71" s="31">
        <f>0</f>
        <v>0</v>
      </c>
      <c r="S71" s="31">
        <f>0</f>
        <v>0</v>
      </c>
    </row>
    <row r="72" spans="1:19" ht="25.5" customHeight="1" outlineLevel="2">
      <c r="A72" s="24" t="s">
        <v>133</v>
      </c>
      <c r="B72" s="25"/>
      <c r="C72" s="55" t="s">
        <v>134</v>
      </c>
      <c r="D72" s="55"/>
      <c r="E72" s="55"/>
      <c r="F72" s="27">
        <f>0</f>
        <v>0</v>
      </c>
      <c r="G72" s="28">
        <f>0</f>
        <v>0</v>
      </c>
      <c r="H72" s="28">
        <f>0</f>
        <v>0</v>
      </c>
      <c r="I72" s="29">
        <f>0</f>
        <v>0</v>
      </c>
      <c r="J72" s="30">
        <f>1503034.46</f>
        <v>1503034.46</v>
      </c>
      <c r="K72" s="31">
        <f>222594.71</f>
        <v>222594.71</v>
      </c>
      <c r="L72" s="31">
        <f>0</f>
        <v>0</v>
      </c>
      <c r="M72" s="31">
        <f>0</f>
        <v>0</v>
      </c>
      <c r="N72" s="31">
        <f>0</f>
        <v>0</v>
      </c>
      <c r="O72" s="31">
        <f>0</f>
        <v>0</v>
      </c>
      <c r="P72" s="31">
        <f>0</f>
        <v>0</v>
      </c>
      <c r="Q72" s="31">
        <f>0</f>
        <v>0</v>
      </c>
      <c r="R72" s="31">
        <f>0</f>
        <v>0</v>
      </c>
      <c r="S72" s="31">
        <f>0</f>
        <v>0</v>
      </c>
    </row>
    <row r="73" spans="1:19" ht="25.5" customHeight="1" outlineLevel="2">
      <c r="A73" s="24" t="s">
        <v>135</v>
      </c>
      <c r="B73" s="33" t="s">
        <v>136</v>
      </c>
      <c r="C73" s="33"/>
      <c r="D73" s="33"/>
      <c r="E73" s="33"/>
      <c r="F73" s="27">
        <f>0</f>
        <v>0</v>
      </c>
      <c r="G73" s="28">
        <f>0</f>
        <v>0</v>
      </c>
      <c r="H73" s="28">
        <f>0</f>
        <v>0</v>
      </c>
      <c r="I73" s="29">
        <f>0</f>
        <v>0</v>
      </c>
      <c r="J73" s="30">
        <f>529995.71</f>
        <v>529995.71</v>
      </c>
      <c r="K73" s="31">
        <f>0</f>
        <v>0</v>
      </c>
      <c r="L73" s="31">
        <f>0</f>
        <v>0</v>
      </c>
      <c r="M73" s="31">
        <f>0</f>
        <v>0</v>
      </c>
      <c r="N73" s="31">
        <f>0</f>
        <v>0</v>
      </c>
      <c r="O73" s="31">
        <f>0</f>
        <v>0</v>
      </c>
      <c r="P73" s="31">
        <f>0</f>
        <v>0</v>
      </c>
      <c r="Q73" s="31">
        <f>0</f>
        <v>0</v>
      </c>
      <c r="R73" s="31">
        <f>0</f>
        <v>0</v>
      </c>
      <c r="S73" s="31">
        <f>0</f>
        <v>0</v>
      </c>
    </row>
    <row r="74" spans="1:19" ht="15" customHeight="1" outlineLevel="2">
      <c r="A74" s="24" t="s">
        <v>137</v>
      </c>
      <c r="B74" s="25"/>
      <c r="C74" s="32"/>
      <c r="D74" s="26" t="s">
        <v>132</v>
      </c>
      <c r="E74" s="26"/>
      <c r="F74" s="27">
        <f>3773685.71</f>
        <v>3773685.71</v>
      </c>
      <c r="G74" s="28">
        <f>0</f>
        <v>0</v>
      </c>
      <c r="H74" s="28">
        <f>3830155.48</f>
        <v>3830155.48</v>
      </c>
      <c r="I74" s="29">
        <f>3113726.16</f>
        <v>3113726.16</v>
      </c>
      <c r="J74" s="30">
        <f>529995.71</f>
        <v>529995.71</v>
      </c>
      <c r="K74" s="31">
        <f>0</f>
        <v>0</v>
      </c>
      <c r="L74" s="31">
        <f>0</f>
        <v>0</v>
      </c>
      <c r="M74" s="31">
        <f>0</f>
        <v>0</v>
      </c>
      <c r="N74" s="31">
        <f>0</f>
        <v>0</v>
      </c>
      <c r="O74" s="31">
        <f>0</f>
        <v>0</v>
      </c>
      <c r="P74" s="31">
        <f>0</f>
        <v>0</v>
      </c>
      <c r="Q74" s="31">
        <f>0</f>
        <v>0</v>
      </c>
      <c r="R74" s="31">
        <f>0</f>
        <v>0</v>
      </c>
      <c r="S74" s="31">
        <f>0</f>
        <v>0</v>
      </c>
    </row>
    <row r="75" spans="1:19" ht="24.75" customHeight="1" outlineLevel="2">
      <c r="A75" s="24" t="s">
        <v>138</v>
      </c>
      <c r="B75" s="25"/>
      <c r="C75" s="56" t="s">
        <v>139</v>
      </c>
      <c r="D75" s="56"/>
      <c r="E75" s="56"/>
      <c r="F75" s="27">
        <f>0</f>
        <v>0</v>
      </c>
      <c r="G75" s="28">
        <f>0</f>
        <v>0</v>
      </c>
      <c r="H75" s="28">
        <f>0</f>
        <v>0</v>
      </c>
      <c r="I75" s="29">
        <f>0</f>
        <v>0</v>
      </c>
      <c r="J75" s="30">
        <f>529995.71</f>
        <v>529995.71</v>
      </c>
      <c r="K75" s="31">
        <f>0</f>
        <v>0</v>
      </c>
      <c r="L75" s="31">
        <f>0</f>
        <v>0</v>
      </c>
      <c r="M75" s="31">
        <f>0</f>
        <v>0</v>
      </c>
      <c r="N75" s="31">
        <f>0</f>
        <v>0</v>
      </c>
      <c r="O75" s="31">
        <f>0</f>
        <v>0</v>
      </c>
      <c r="P75" s="31">
        <f>0</f>
        <v>0</v>
      </c>
      <c r="Q75" s="31">
        <f>0</f>
        <v>0</v>
      </c>
      <c r="R75" s="31">
        <f>0</f>
        <v>0</v>
      </c>
      <c r="S75" s="31">
        <f>0</f>
        <v>0</v>
      </c>
    </row>
    <row r="76" spans="1:19" ht="24.75" customHeight="1" outlineLevel="2">
      <c r="A76" s="24" t="s">
        <v>140</v>
      </c>
      <c r="B76" s="25"/>
      <c r="C76" s="26" t="s">
        <v>141</v>
      </c>
      <c r="D76" s="26"/>
      <c r="E76" s="26"/>
      <c r="F76" s="27">
        <f>0</f>
        <v>0</v>
      </c>
      <c r="G76" s="28">
        <f>0</f>
        <v>0</v>
      </c>
      <c r="H76" s="28">
        <f>0</f>
        <v>0</v>
      </c>
      <c r="I76" s="29">
        <f>0</f>
        <v>0</v>
      </c>
      <c r="J76" s="30">
        <f>1742648.2</f>
        <v>1742648.2</v>
      </c>
      <c r="K76" s="31">
        <f>262135.15</f>
        <v>262135.15</v>
      </c>
      <c r="L76" s="31">
        <f>0</f>
        <v>0</v>
      </c>
      <c r="M76" s="31">
        <f>0</f>
        <v>0</v>
      </c>
      <c r="N76" s="31">
        <f>0</f>
        <v>0</v>
      </c>
      <c r="O76" s="31">
        <f>0</f>
        <v>0</v>
      </c>
      <c r="P76" s="31">
        <f>0</f>
        <v>0</v>
      </c>
      <c r="Q76" s="31">
        <f>0</f>
        <v>0</v>
      </c>
      <c r="R76" s="31">
        <f>0</f>
        <v>0</v>
      </c>
      <c r="S76" s="31">
        <f>0</f>
        <v>0</v>
      </c>
    </row>
    <row r="77" spans="1:19" ht="15" customHeight="1" outlineLevel="2">
      <c r="A77" s="24" t="s">
        <v>142</v>
      </c>
      <c r="B77" s="25"/>
      <c r="C77" s="32"/>
      <c r="D77" s="26" t="s">
        <v>143</v>
      </c>
      <c r="E77" s="26"/>
      <c r="F77" s="27">
        <f>0</f>
        <v>0</v>
      </c>
      <c r="G77" s="28">
        <f>0</f>
        <v>0</v>
      </c>
      <c r="H77" s="28">
        <f>1221877.52</f>
        <v>1221877.52</v>
      </c>
      <c r="I77" s="29">
        <f>1128926.89</f>
        <v>1128926.89</v>
      </c>
      <c r="J77" s="30">
        <f>1490323.61</f>
        <v>1490323.61</v>
      </c>
      <c r="K77" s="31">
        <f>222594.71</f>
        <v>222594.71</v>
      </c>
      <c r="L77" s="31">
        <f>0</f>
        <v>0</v>
      </c>
      <c r="M77" s="31">
        <f>0</f>
        <v>0</v>
      </c>
      <c r="N77" s="31">
        <f>0</f>
        <v>0</v>
      </c>
      <c r="O77" s="31">
        <f>0</f>
        <v>0</v>
      </c>
      <c r="P77" s="31">
        <f>0</f>
        <v>0</v>
      </c>
      <c r="Q77" s="31">
        <f>0</f>
        <v>0</v>
      </c>
      <c r="R77" s="31">
        <f>0</f>
        <v>0</v>
      </c>
      <c r="S77" s="31">
        <f>0</f>
        <v>0</v>
      </c>
    </row>
    <row r="78" spans="1:19" ht="25.5" customHeight="1" outlineLevel="2">
      <c r="A78" s="24" t="s">
        <v>144</v>
      </c>
      <c r="B78" s="25"/>
      <c r="C78" s="32"/>
      <c r="D78" s="26" t="s">
        <v>145</v>
      </c>
      <c r="E78" s="26"/>
      <c r="F78" s="27">
        <f>0</f>
        <v>0</v>
      </c>
      <c r="G78" s="28">
        <f>0</f>
        <v>0</v>
      </c>
      <c r="H78" s="28">
        <f>0</f>
        <v>0</v>
      </c>
      <c r="I78" s="29">
        <f>0</f>
        <v>0</v>
      </c>
      <c r="J78" s="30">
        <f>0</f>
        <v>0</v>
      </c>
      <c r="K78" s="31">
        <f>0</f>
        <v>0</v>
      </c>
      <c r="L78" s="31">
        <f>0</f>
        <v>0</v>
      </c>
      <c r="M78" s="31">
        <f>0</f>
        <v>0</v>
      </c>
      <c r="N78" s="31">
        <f>0</f>
        <v>0</v>
      </c>
      <c r="O78" s="31">
        <f>0</f>
        <v>0</v>
      </c>
      <c r="P78" s="31">
        <f>0</f>
        <v>0</v>
      </c>
      <c r="Q78" s="31">
        <f>0</f>
        <v>0</v>
      </c>
      <c r="R78" s="31">
        <f>0</f>
        <v>0</v>
      </c>
      <c r="S78" s="31">
        <f>0</f>
        <v>0</v>
      </c>
    </row>
    <row r="79" spans="1:19" ht="24.75" customHeight="1" outlineLevel="2">
      <c r="A79" s="24" t="s">
        <v>146</v>
      </c>
      <c r="B79" s="25"/>
      <c r="C79" s="26" t="s">
        <v>147</v>
      </c>
      <c r="D79" s="26"/>
      <c r="E79" s="26"/>
      <c r="F79" s="27">
        <f>0</f>
        <v>0</v>
      </c>
      <c r="G79" s="28">
        <f>0</f>
        <v>0</v>
      </c>
      <c r="H79" s="28">
        <f>0</f>
        <v>0</v>
      </c>
      <c r="I79" s="29">
        <f>0</f>
        <v>0</v>
      </c>
      <c r="J79" s="30">
        <f>735014.91</f>
        <v>735014.91</v>
      </c>
      <c r="K79" s="31">
        <f>0</f>
        <v>0</v>
      </c>
      <c r="L79" s="31">
        <f>0</f>
        <v>0</v>
      </c>
      <c r="M79" s="31">
        <f>0</f>
        <v>0</v>
      </c>
      <c r="N79" s="31">
        <f>0</f>
        <v>0</v>
      </c>
      <c r="O79" s="31">
        <f>0</f>
        <v>0</v>
      </c>
      <c r="P79" s="31">
        <f>0</f>
        <v>0</v>
      </c>
      <c r="Q79" s="31">
        <f>0</f>
        <v>0</v>
      </c>
      <c r="R79" s="31">
        <f>0</f>
        <v>0</v>
      </c>
      <c r="S79" s="31">
        <f>0</f>
        <v>0</v>
      </c>
    </row>
    <row r="80" spans="1:19" ht="15" customHeight="1" outlineLevel="2">
      <c r="A80" s="24" t="s">
        <v>148</v>
      </c>
      <c r="B80" s="25"/>
      <c r="C80" s="32"/>
      <c r="D80" s="26" t="s">
        <v>149</v>
      </c>
      <c r="E80" s="26"/>
      <c r="F80" s="27">
        <f>0</f>
        <v>0</v>
      </c>
      <c r="G80" s="28">
        <f>0</f>
        <v>0</v>
      </c>
      <c r="H80" s="28">
        <f>3830155.48</f>
        <v>3830155.48</v>
      </c>
      <c r="I80" s="29">
        <f>3360023.79</f>
        <v>3360023.79</v>
      </c>
      <c r="J80" s="30">
        <f>529995.71</f>
        <v>529995.71</v>
      </c>
      <c r="K80" s="31">
        <f>0</f>
        <v>0</v>
      </c>
      <c r="L80" s="31">
        <f>0</f>
        <v>0</v>
      </c>
      <c r="M80" s="31">
        <f>0</f>
        <v>0</v>
      </c>
      <c r="N80" s="31">
        <f>0</f>
        <v>0</v>
      </c>
      <c r="O80" s="31">
        <f>0</f>
        <v>0</v>
      </c>
      <c r="P80" s="31">
        <f>0</f>
        <v>0</v>
      </c>
      <c r="Q80" s="31">
        <f>0</f>
        <v>0</v>
      </c>
      <c r="R80" s="31">
        <f>0</f>
        <v>0</v>
      </c>
      <c r="S80" s="31">
        <f>0</f>
        <v>0</v>
      </c>
    </row>
    <row r="81" spans="1:19" ht="25.5" customHeight="1" outlineLevel="2">
      <c r="A81" s="24" t="s">
        <v>150</v>
      </c>
      <c r="B81" s="25"/>
      <c r="C81" s="32"/>
      <c r="D81" s="26" t="s">
        <v>151</v>
      </c>
      <c r="E81" s="26"/>
      <c r="F81" s="27">
        <f>0</f>
        <v>0</v>
      </c>
      <c r="G81" s="28">
        <f>0</f>
        <v>0</v>
      </c>
      <c r="H81" s="28">
        <f>0</f>
        <v>0</v>
      </c>
      <c r="I81" s="29">
        <f>0</f>
        <v>0</v>
      </c>
      <c r="J81" s="30">
        <f>0</f>
        <v>0</v>
      </c>
      <c r="K81" s="31">
        <f>0</f>
        <v>0</v>
      </c>
      <c r="L81" s="31">
        <f>0</f>
        <v>0</v>
      </c>
      <c r="M81" s="31">
        <f>0</f>
        <v>0</v>
      </c>
      <c r="N81" s="31">
        <f>0</f>
        <v>0</v>
      </c>
      <c r="O81" s="31">
        <f>0</f>
        <v>0</v>
      </c>
      <c r="P81" s="31">
        <f>0</f>
        <v>0</v>
      </c>
      <c r="Q81" s="31">
        <f>0</f>
        <v>0</v>
      </c>
      <c r="R81" s="31">
        <f>0</f>
        <v>0</v>
      </c>
      <c r="S81" s="31">
        <f>0</f>
        <v>0</v>
      </c>
    </row>
    <row r="82" spans="1:20" ht="25.5" customHeight="1" outlineLevel="1">
      <c r="A82" s="16">
        <v>13</v>
      </c>
      <c r="B82" s="17" t="s">
        <v>152</v>
      </c>
      <c r="C82" s="17"/>
      <c r="D82" s="17"/>
      <c r="E82" s="17"/>
      <c r="F82" s="43" t="s">
        <v>39</v>
      </c>
      <c r="G82" s="44" t="s">
        <v>39</v>
      </c>
      <c r="H82" s="44" t="s">
        <v>39</v>
      </c>
      <c r="I82" s="45" t="s">
        <v>39</v>
      </c>
      <c r="J82" s="46" t="s">
        <v>39</v>
      </c>
      <c r="K82" s="47" t="s">
        <v>39</v>
      </c>
      <c r="L82" s="47" t="s">
        <v>39</v>
      </c>
      <c r="M82" s="47" t="s">
        <v>39</v>
      </c>
      <c r="N82" s="47" t="s">
        <v>39</v>
      </c>
      <c r="O82" s="47" t="s">
        <v>39</v>
      </c>
      <c r="P82" s="47" t="s">
        <v>39</v>
      </c>
      <c r="Q82" s="47" t="s">
        <v>39</v>
      </c>
      <c r="R82" s="47" t="s">
        <v>39</v>
      </c>
      <c r="S82" s="47" t="s">
        <v>39</v>
      </c>
      <c r="T82" s="23"/>
    </row>
    <row r="83" spans="1:19" ht="39.75" customHeight="1" outlineLevel="2">
      <c r="A83" s="24" t="s">
        <v>153</v>
      </c>
      <c r="B83" s="25"/>
      <c r="C83" s="26" t="s">
        <v>154</v>
      </c>
      <c r="D83" s="26"/>
      <c r="E83" s="26"/>
      <c r="F83" s="27">
        <f>0</f>
        <v>0</v>
      </c>
      <c r="G83" s="28">
        <f>0</f>
        <v>0</v>
      </c>
      <c r="H83" s="28">
        <f>0</f>
        <v>0</v>
      </c>
      <c r="I83" s="29">
        <f>0</f>
        <v>0</v>
      </c>
      <c r="J83" s="30">
        <f>0</f>
        <v>0</v>
      </c>
      <c r="K83" s="31">
        <f>0</f>
        <v>0</v>
      </c>
      <c r="L83" s="31">
        <f>0</f>
        <v>0</v>
      </c>
      <c r="M83" s="31">
        <f>0</f>
        <v>0</v>
      </c>
      <c r="N83" s="31">
        <f>0</f>
        <v>0</v>
      </c>
      <c r="O83" s="31">
        <f>0</f>
        <v>0</v>
      </c>
      <c r="P83" s="31">
        <f>0</f>
        <v>0</v>
      </c>
      <c r="Q83" s="31">
        <f>0</f>
        <v>0</v>
      </c>
      <c r="R83" s="31">
        <f>0</f>
        <v>0</v>
      </c>
      <c r="S83" s="31">
        <f>0</f>
        <v>0</v>
      </c>
    </row>
    <row r="84" spans="1:19" ht="34.5" customHeight="1" outlineLevel="2">
      <c r="A84" s="24" t="s">
        <v>155</v>
      </c>
      <c r="B84" s="25"/>
      <c r="C84" s="26" t="s">
        <v>156</v>
      </c>
      <c r="D84" s="26"/>
      <c r="E84" s="26"/>
      <c r="F84" s="27">
        <f>0</f>
        <v>0</v>
      </c>
      <c r="G84" s="28">
        <f>0</f>
        <v>0</v>
      </c>
      <c r="H84" s="28">
        <f>0</f>
        <v>0</v>
      </c>
      <c r="I84" s="29">
        <f>0</f>
        <v>0</v>
      </c>
      <c r="J84" s="30">
        <f>0</f>
        <v>0</v>
      </c>
      <c r="K84" s="31">
        <f>0</f>
        <v>0</v>
      </c>
      <c r="L84" s="31">
        <f>0</f>
        <v>0</v>
      </c>
      <c r="M84" s="31">
        <f>0</f>
        <v>0</v>
      </c>
      <c r="N84" s="31">
        <f>0</f>
        <v>0</v>
      </c>
      <c r="O84" s="31">
        <f>0</f>
        <v>0</v>
      </c>
      <c r="P84" s="31">
        <f>0</f>
        <v>0</v>
      </c>
      <c r="Q84" s="31">
        <f>0</f>
        <v>0</v>
      </c>
      <c r="R84" s="31">
        <f>0</f>
        <v>0</v>
      </c>
      <c r="S84" s="31">
        <f>0</f>
        <v>0</v>
      </c>
    </row>
    <row r="85" spans="1:19" ht="25.5" customHeight="1" outlineLevel="2">
      <c r="A85" s="24" t="s">
        <v>157</v>
      </c>
      <c r="B85" s="25"/>
      <c r="C85" s="26" t="s">
        <v>158</v>
      </c>
      <c r="D85" s="26"/>
      <c r="E85" s="26"/>
      <c r="F85" s="27">
        <f>0</f>
        <v>0</v>
      </c>
      <c r="G85" s="28">
        <f>0</f>
        <v>0</v>
      </c>
      <c r="H85" s="28">
        <f>0</f>
        <v>0</v>
      </c>
      <c r="I85" s="29">
        <f>0</f>
        <v>0</v>
      </c>
      <c r="J85" s="30">
        <f>0</f>
        <v>0</v>
      </c>
      <c r="K85" s="31">
        <f>0</f>
        <v>0</v>
      </c>
      <c r="L85" s="31">
        <f>0</f>
        <v>0</v>
      </c>
      <c r="M85" s="31">
        <f>0</f>
        <v>0</v>
      </c>
      <c r="N85" s="31">
        <f>0</f>
        <v>0</v>
      </c>
      <c r="O85" s="31">
        <f>0</f>
        <v>0</v>
      </c>
      <c r="P85" s="31">
        <f>0</f>
        <v>0</v>
      </c>
      <c r="Q85" s="31">
        <f>0</f>
        <v>0</v>
      </c>
      <c r="R85" s="31">
        <f>0</f>
        <v>0</v>
      </c>
      <c r="S85" s="31">
        <f>0</f>
        <v>0</v>
      </c>
    </row>
    <row r="86" spans="1:19" ht="38.25" customHeight="1" outlineLevel="2">
      <c r="A86" s="24" t="s">
        <v>159</v>
      </c>
      <c r="B86" s="25"/>
      <c r="C86" s="26" t="s">
        <v>160</v>
      </c>
      <c r="D86" s="26"/>
      <c r="E86" s="26"/>
      <c r="F86" s="27">
        <f>0</f>
        <v>0</v>
      </c>
      <c r="G86" s="28">
        <f>0</f>
        <v>0</v>
      </c>
      <c r="H86" s="28">
        <f>0</f>
        <v>0</v>
      </c>
      <c r="I86" s="29">
        <f>0</f>
        <v>0</v>
      </c>
      <c r="J86" s="30">
        <f>0</f>
        <v>0</v>
      </c>
      <c r="K86" s="31">
        <f>0</f>
        <v>0</v>
      </c>
      <c r="L86" s="31">
        <f>0</f>
        <v>0</v>
      </c>
      <c r="M86" s="31">
        <f>0</f>
        <v>0</v>
      </c>
      <c r="N86" s="31">
        <f>0</f>
        <v>0</v>
      </c>
      <c r="O86" s="31">
        <f>0</f>
        <v>0</v>
      </c>
      <c r="P86" s="31">
        <f>0</f>
        <v>0</v>
      </c>
      <c r="Q86" s="31">
        <f>0</f>
        <v>0</v>
      </c>
      <c r="R86" s="31">
        <f>0</f>
        <v>0</v>
      </c>
      <c r="S86" s="31">
        <f>0</f>
        <v>0</v>
      </c>
    </row>
    <row r="87" spans="1:19" ht="38.25" customHeight="1" outlineLevel="2">
      <c r="A87" s="24" t="s">
        <v>161</v>
      </c>
      <c r="B87" s="25"/>
      <c r="C87" s="26" t="s">
        <v>162</v>
      </c>
      <c r="D87" s="26"/>
      <c r="E87" s="26"/>
      <c r="F87" s="27">
        <f>0</f>
        <v>0</v>
      </c>
      <c r="G87" s="28">
        <f>0</f>
        <v>0</v>
      </c>
      <c r="H87" s="28">
        <f>0</f>
        <v>0</v>
      </c>
      <c r="I87" s="29">
        <f>0</f>
        <v>0</v>
      </c>
      <c r="J87" s="30">
        <f>0</f>
        <v>0</v>
      </c>
      <c r="K87" s="31">
        <f>0</f>
        <v>0</v>
      </c>
      <c r="L87" s="31">
        <f>0</f>
        <v>0</v>
      </c>
      <c r="M87" s="31">
        <f>0</f>
        <v>0</v>
      </c>
      <c r="N87" s="31">
        <f>0</f>
        <v>0</v>
      </c>
      <c r="O87" s="31">
        <f>0</f>
        <v>0</v>
      </c>
      <c r="P87" s="31">
        <f>0</f>
        <v>0</v>
      </c>
      <c r="Q87" s="31">
        <f>0</f>
        <v>0</v>
      </c>
      <c r="R87" s="31">
        <f>0</f>
        <v>0</v>
      </c>
      <c r="S87" s="31">
        <f>0</f>
        <v>0</v>
      </c>
    </row>
    <row r="88" spans="1:19" ht="36" customHeight="1" outlineLevel="2">
      <c r="A88" s="24" t="s">
        <v>163</v>
      </c>
      <c r="B88" s="25"/>
      <c r="C88" s="26" t="s">
        <v>164</v>
      </c>
      <c r="D88" s="26"/>
      <c r="E88" s="26"/>
      <c r="F88" s="27">
        <f>0</f>
        <v>0</v>
      </c>
      <c r="G88" s="28">
        <f>0</f>
        <v>0</v>
      </c>
      <c r="H88" s="28">
        <f>0</f>
        <v>0</v>
      </c>
      <c r="I88" s="29">
        <f>0</f>
        <v>0</v>
      </c>
      <c r="J88" s="30">
        <f>0</f>
        <v>0</v>
      </c>
      <c r="K88" s="31">
        <f>0</f>
        <v>0</v>
      </c>
      <c r="L88" s="31">
        <f>0</f>
        <v>0</v>
      </c>
      <c r="M88" s="31">
        <f>0</f>
        <v>0</v>
      </c>
      <c r="N88" s="31">
        <f>0</f>
        <v>0</v>
      </c>
      <c r="O88" s="31">
        <f>0</f>
        <v>0</v>
      </c>
      <c r="P88" s="31">
        <f>0</f>
        <v>0</v>
      </c>
      <c r="Q88" s="31">
        <f>0</f>
        <v>0</v>
      </c>
      <c r="R88" s="31">
        <f>0</f>
        <v>0</v>
      </c>
      <c r="S88" s="31">
        <f>0</f>
        <v>0</v>
      </c>
    </row>
    <row r="89" spans="1:19" ht="26.25" customHeight="1" outlineLevel="2">
      <c r="A89" s="24" t="s">
        <v>165</v>
      </c>
      <c r="B89" s="25"/>
      <c r="C89" s="26" t="s">
        <v>166</v>
      </c>
      <c r="D89" s="26"/>
      <c r="E89" s="26"/>
      <c r="F89" s="27">
        <f>0</f>
        <v>0</v>
      </c>
      <c r="G89" s="28">
        <f>0</f>
        <v>0</v>
      </c>
      <c r="H89" s="28">
        <f>0</f>
        <v>0</v>
      </c>
      <c r="I89" s="29">
        <f>0</f>
        <v>0</v>
      </c>
      <c r="J89" s="30">
        <f>0</f>
        <v>0</v>
      </c>
      <c r="K89" s="31">
        <f>0</f>
        <v>0</v>
      </c>
      <c r="L89" s="31">
        <f>0</f>
        <v>0</v>
      </c>
      <c r="M89" s="31">
        <f>0</f>
        <v>0</v>
      </c>
      <c r="N89" s="31">
        <f>0</f>
        <v>0</v>
      </c>
      <c r="O89" s="31">
        <f>0</f>
        <v>0</v>
      </c>
      <c r="P89" s="31">
        <f>0</f>
        <v>0</v>
      </c>
      <c r="Q89" s="31">
        <f>0</f>
        <v>0</v>
      </c>
      <c r="R89" s="31">
        <f>0</f>
        <v>0</v>
      </c>
      <c r="S89" s="31">
        <f>0</f>
        <v>0</v>
      </c>
    </row>
    <row r="90" spans="1:20" ht="15" customHeight="1" outlineLevel="1">
      <c r="A90" s="16">
        <v>14</v>
      </c>
      <c r="B90" s="17" t="s">
        <v>167</v>
      </c>
      <c r="C90" s="17"/>
      <c r="D90" s="17"/>
      <c r="E90" s="17"/>
      <c r="F90" s="43" t="s">
        <v>39</v>
      </c>
      <c r="G90" s="44" t="s">
        <v>39</v>
      </c>
      <c r="H90" s="44" t="s">
        <v>39</v>
      </c>
      <c r="I90" s="45" t="s">
        <v>39</v>
      </c>
      <c r="J90" s="46" t="s">
        <v>39</v>
      </c>
      <c r="K90" s="47" t="s">
        <v>39</v>
      </c>
      <c r="L90" s="47" t="s">
        <v>39</v>
      </c>
      <c r="M90" s="47" t="s">
        <v>39</v>
      </c>
      <c r="N90" s="47" t="s">
        <v>39</v>
      </c>
      <c r="O90" s="47" t="s">
        <v>39</v>
      </c>
      <c r="P90" s="47" t="s">
        <v>39</v>
      </c>
      <c r="Q90" s="47" t="s">
        <v>39</v>
      </c>
      <c r="R90" s="47" t="s">
        <v>39</v>
      </c>
      <c r="S90" s="47" t="s">
        <v>39</v>
      </c>
      <c r="T90" s="23"/>
    </row>
    <row r="91" spans="1:19" ht="27.75" customHeight="1" outlineLevel="2">
      <c r="A91" s="24" t="s">
        <v>168</v>
      </c>
      <c r="B91" s="25"/>
      <c r="C91" s="26" t="s">
        <v>169</v>
      </c>
      <c r="D91" s="26"/>
      <c r="E91" s="26"/>
      <c r="F91" s="27">
        <f>0</f>
        <v>0</v>
      </c>
      <c r="G91" s="28">
        <f>0</f>
        <v>0</v>
      </c>
      <c r="H91" s="28">
        <f>0</f>
        <v>0</v>
      </c>
      <c r="I91" s="29">
        <f>0</f>
        <v>0</v>
      </c>
      <c r="J91" s="30">
        <f>0</f>
        <v>0</v>
      </c>
      <c r="K91" s="31">
        <f>0</f>
        <v>0</v>
      </c>
      <c r="L91" s="31">
        <f>0</f>
        <v>0</v>
      </c>
      <c r="M91" s="31">
        <f>0</f>
        <v>0</v>
      </c>
      <c r="N91" s="31">
        <f>0</f>
        <v>0</v>
      </c>
      <c r="O91" s="31">
        <f>0</f>
        <v>0</v>
      </c>
      <c r="P91" s="31">
        <f>0</f>
        <v>0</v>
      </c>
      <c r="Q91" s="31">
        <f>0</f>
        <v>0</v>
      </c>
      <c r="R91" s="31">
        <f>0</f>
        <v>0</v>
      </c>
      <c r="S91" s="31">
        <f>0</f>
        <v>0</v>
      </c>
    </row>
    <row r="92" spans="1:19" ht="15" customHeight="1" outlineLevel="2">
      <c r="A92" s="24" t="s">
        <v>170</v>
      </c>
      <c r="B92" s="25"/>
      <c r="C92" s="26" t="s">
        <v>171</v>
      </c>
      <c r="D92" s="26"/>
      <c r="E92" s="26"/>
      <c r="F92" s="27">
        <f>0</f>
        <v>0</v>
      </c>
      <c r="G92" s="28">
        <f>0</f>
        <v>0</v>
      </c>
      <c r="H92" s="28">
        <f>0</f>
        <v>0</v>
      </c>
      <c r="I92" s="29">
        <f>0</f>
        <v>0</v>
      </c>
      <c r="J92" s="30">
        <f>0</f>
        <v>0</v>
      </c>
      <c r="K92" s="31">
        <f>0</f>
        <v>0</v>
      </c>
      <c r="L92" s="31">
        <f>0</f>
        <v>0</v>
      </c>
      <c r="M92" s="31">
        <f>0</f>
        <v>0</v>
      </c>
      <c r="N92" s="31">
        <f>0</f>
        <v>0</v>
      </c>
      <c r="O92" s="31">
        <f>0</f>
        <v>0</v>
      </c>
      <c r="P92" s="31">
        <f>0</f>
        <v>0</v>
      </c>
      <c r="Q92" s="31">
        <f>0</f>
        <v>0</v>
      </c>
      <c r="R92" s="31">
        <f>0</f>
        <v>0</v>
      </c>
      <c r="S92" s="31">
        <f>0</f>
        <v>0</v>
      </c>
    </row>
    <row r="93" spans="1:19" ht="15" customHeight="1" outlineLevel="2">
      <c r="A93" s="24" t="s">
        <v>172</v>
      </c>
      <c r="B93" s="25"/>
      <c r="C93" s="26" t="s">
        <v>173</v>
      </c>
      <c r="D93" s="26"/>
      <c r="E93" s="26"/>
      <c r="F93" s="27">
        <f>0</f>
        <v>0</v>
      </c>
      <c r="G93" s="28">
        <f>0</f>
        <v>0</v>
      </c>
      <c r="H93" s="28">
        <f>0</f>
        <v>0</v>
      </c>
      <c r="I93" s="29">
        <f>0</f>
        <v>0</v>
      </c>
      <c r="J93" s="30">
        <f>0</f>
        <v>0</v>
      </c>
      <c r="K93" s="31">
        <f>0</f>
        <v>0</v>
      </c>
      <c r="L93" s="31">
        <f>0</f>
        <v>0</v>
      </c>
      <c r="M93" s="31">
        <f>0</f>
        <v>0</v>
      </c>
      <c r="N93" s="31">
        <f>0</f>
        <v>0</v>
      </c>
      <c r="O93" s="31">
        <f>0</f>
        <v>0</v>
      </c>
      <c r="P93" s="31">
        <f>0</f>
        <v>0</v>
      </c>
      <c r="Q93" s="31">
        <f>0</f>
        <v>0</v>
      </c>
      <c r="R93" s="31">
        <f>0</f>
        <v>0</v>
      </c>
      <c r="S93" s="31">
        <f>0</f>
        <v>0</v>
      </c>
    </row>
    <row r="94" spans="1:19" ht="17.25" customHeight="1" outlineLevel="2">
      <c r="A94" s="24" t="s">
        <v>174</v>
      </c>
      <c r="B94" s="25"/>
      <c r="C94" s="32"/>
      <c r="D94" s="26" t="s">
        <v>175</v>
      </c>
      <c r="E94" s="26"/>
      <c r="F94" s="27">
        <f>0</f>
        <v>0</v>
      </c>
      <c r="G94" s="28">
        <f>0</f>
        <v>0</v>
      </c>
      <c r="H94" s="28">
        <f>0</f>
        <v>0</v>
      </c>
      <c r="I94" s="29">
        <f>0</f>
        <v>0</v>
      </c>
      <c r="J94" s="30">
        <f>0</f>
        <v>0</v>
      </c>
      <c r="K94" s="31">
        <f>0</f>
        <v>0</v>
      </c>
      <c r="L94" s="31">
        <f>0</f>
        <v>0</v>
      </c>
      <c r="M94" s="31">
        <f>0</f>
        <v>0</v>
      </c>
      <c r="N94" s="31">
        <f>0</f>
        <v>0</v>
      </c>
      <c r="O94" s="31">
        <f>0</f>
        <v>0</v>
      </c>
      <c r="P94" s="31">
        <f>0</f>
        <v>0</v>
      </c>
      <c r="Q94" s="31">
        <f>0</f>
        <v>0</v>
      </c>
      <c r="R94" s="31">
        <f>0</f>
        <v>0</v>
      </c>
      <c r="S94" s="31">
        <f>0</f>
        <v>0</v>
      </c>
    </row>
    <row r="95" spans="1:19" ht="27" customHeight="1" outlineLevel="2">
      <c r="A95" s="24" t="s">
        <v>176</v>
      </c>
      <c r="B95" s="25"/>
      <c r="C95" s="32"/>
      <c r="D95" s="26" t="s">
        <v>177</v>
      </c>
      <c r="E95" s="26"/>
      <c r="F95" s="27">
        <f>0</f>
        <v>0</v>
      </c>
      <c r="G95" s="28">
        <f>0</f>
        <v>0</v>
      </c>
      <c r="H95" s="28">
        <f>0</f>
        <v>0</v>
      </c>
      <c r="I95" s="29">
        <f>0</f>
        <v>0</v>
      </c>
      <c r="J95" s="30">
        <f>0</f>
        <v>0</v>
      </c>
      <c r="K95" s="31">
        <f>0</f>
        <v>0</v>
      </c>
      <c r="L95" s="31">
        <f>0</f>
        <v>0</v>
      </c>
      <c r="M95" s="31">
        <f>0</f>
        <v>0</v>
      </c>
      <c r="N95" s="31">
        <f>0</f>
        <v>0</v>
      </c>
      <c r="O95" s="31">
        <f>0</f>
        <v>0</v>
      </c>
      <c r="P95" s="31">
        <f>0</f>
        <v>0</v>
      </c>
      <c r="Q95" s="31">
        <f>0</f>
        <v>0</v>
      </c>
      <c r="R95" s="31">
        <f>0</f>
        <v>0</v>
      </c>
      <c r="S95" s="31">
        <f>0</f>
        <v>0</v>
      </c>
    </row>
    <row r="96" spans="1:19" ht="15" customHeight="1" outlineLevel="2">
      <c r="A96" s="24" t="s">
        <v>178</v>
      </c>
      <c r="B96" s="25"/>
      <c r="C96" s="32"/>
      <c r="D96" s="26" t="s">
        <v>179</v>
      </c>
      <c r="E96" s="26"/>
      <c r="F96" s="27">
        <f>0</f>
        <v>0</v>
      </c>
      <c r="G96" s="28">
        <f>0</f>
        <v>0</v>
      </c>
      <c r="H96" s="28">
        <f>0</f>
        <v>0</v>
      </c>
      <c r="I96" s="29">
        <f>0</f>
        <v>0</v>
      </c>
      <c r="J96" s="30">
        <f>0</f>
        <v>0</v>
      </c>
      <c r="K96" s="31">
        <f>0</f>
        <v>0</v>
      </c>
      <c r="L96" s="31">
        <f>0</f>
        <v>0</v>
      </c>
      <c r="M96" s="31">
        <f>0</f>
        <v>0</v>
      </c>
      <c r="N96" s="31">
        <f>0</f>
        <v>0</v>
      </c>
      <c r="O96" s="31">
        <f>0</f>
        <v>0</v>
      </c>
      <c r="P96" s="31">
        <f>0</f>
        <v>0</v>
      </c>
      <c r="Q96" s="31">
        <f>0</f>
        <v>0</v>
      </c>
      <c r="R96" s="31">
        <f>0</f>
        <v>0</v>
      </c>
      <c r="S96" s="31">
        <f>0</f>
        <v>0</v>
      </c>
    </row>
    <row r="97" spans="1:19" ht="27.75" customHeight="1" outlineLevel="2">
      <c r="A97" s="57" t="s">
        <v>180</v>
      </c>
      <c r="B97" s="58"/>
      <c r="C97" s="59" t="s">
        <v>181</v>
      </c>
      <c r="D97" s="59"/>
      <c r="E97" s="59"/>
      <c r="F97" s="60">
        <f>0</f>
        <v>0</v>
      </c>
      <c r="G97" s="61">
        <f>0</f>
        <v>0</v>
      </c>
      <c r="H97" s="61">
        <f>0</f>
        <v>0</v>
      </c>
      <c r="I97" s="62">
        <f>0</f>
        <v>0</v>
      </c>
      <c r="J97" s="63">
        <f>0</f>
        <v>0</v>
      </c>
      <c r="K97" s="64">
        <f>0</f>
        <v>0</v>
      </c>
      <c r="L97" s="64">
        <f>0</f>
        <v>0</v>
      </c>
      <c r="M97" s="64">
        <f>0</f>
        <v>0</v>
      </c>
      <c r="N97" s="64">
        <f>0</f>
        <v>0</v>
      </c>
      <c r="O97" s="64">
        <f>0</f>
        <v>0</v>
      </c>
      <c r="P97" s="64">
        <f>0</f>
        <v>0</v>
      </c>
      <c r="Q97" s="64">
        <f>0</f>
        <v>0</v>
      </c>
      <c r="R97" s="64">
        <f>0</f>
        <v>0</v>
      </c>
      <c r="S97" s="64">
        <f>0</f>
        <v>0</v>
      </c>
    </row>
    <row r="98" spans="1:20" ht="14.2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6" t="s">
        <v>182</v>
      </c>
      <c r="R98" s="66"/>
      <c r="S98" s="66"/>
      <c r="T98" s="7"/>
    </row>
    <row r="99" spans="1:20" ht="15" customHeight="1">
      <c r="A99" s="67" t="s">
        <v>183</v>
      </c>
      <c r="B99" s="65"/>
      <c r="C99" s="65"/>
      <c r="D99" s="65"/>
      <c r="E99" s="68"/>
      <c r="F99" s="69"/>
      <c r="G99" s="69"/>
      <c r="H99" s="69"/>
      <c r="I99" s="69"/>
      <c r="J99" s="65"/>
      <c r="K99" s="65"/>
      <c r="L99" s="65"/>
      <c r="M99" s="65"/>
      <c r="N99" s="65"/>
      <c r="O99" s="65"/>
      <c r="P99" s="65"/>
      <c r="Q99" s="70" t="s">
        <v>184</v>
      </c>
      <c r="R99" s="70"/>
      <c r="S99" s="70"/>
      <c r="T99" s="7"/>
    </row>
    <row r="100" spans="1:20" ht="12.75">
      <c r="A100" s="71" t="s">
        <v>185</v>
      </c>
      <c r="B100" s="65"/>
      <c r="C100" s="65"/>
      <c r="D100" s="65"/>
      <c r="E100" s="68"/>
      <c r="F100" s="72"/>
      <c r="G100" s="72"/>
      <c r="H100" s="72"/>
      <c r="I100" s="72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7"/>
    </row>
    <row r="101" spans="1:20" ht="12.75">
      <c r="A101" s="73"/>
      <c r="B101" s="65"/>
      <c r="C101" s="65"/>
      <c r="D101" s="65"/>
      <c r="E101" s="68"/>
      <c r="F101" s="72"/>
      <c r="G101" s="72"/>
      <c r="H101" s="72"/>
      <c r="I101" s="72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7"/>
    </row>
    <row r="102" spans="1:20" ht="12.75">
      <c r="A102" s="73"/>
      <c r="B102" s="65"/>
      <c r="C102" s="65"/>
      <c r="D102" s="65"/>
      <c r="E102" s="68"/>
      <c r="F102" s="72"/>
      <c r="G102" s="72"/>
      <c r="H102" s="72"/>
      <c r="I102" s="72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7"/>
    </row>
    <row r="103" spans="1:20" ht="12.75">
      <c r="A103" s="74" t="s">
        <v>186</v>
      </c>
      <c r="B103" s="74"/>
      <c r="C103" s="74"/>
      <c r="D103" s="74"/>
      <c r="E103" s="74"/>
      <c r="F103" s="75"/>
      <c r="G103" s="75"/>
      <c r="H103" s="75"/>
      <c r="I103" s="72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7"/>
    </row>
    <row r="104" spans="1:20" ht="12.75" outlineLevel="1">
      <c r="A104" s="76"/>
      <c r="B104" s="76"/>
      <c r="C104" s="76"/>
      <c r="D104" s="76"/>
      <c r="E104" s="77" t="s">
        <v>187</v>
      </c>
      <c r="F104" s="72"/>
      <c r="G104" s="72"/>
      <c r="H104" s="72"/>
      <c r="I104" s="72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7"/>
    </row>
    <row r="105" spans="1:20" ht="12.75" outlineLevel="1">
      <c r="A105" s="76"/>
      <c r="B105" s="76"/>
      <c r="C105" s="76"/>
      <c r="D105" s="76"/>
      <c r="E105" s="78" t="s">
        <v>188</v>
      </c>
      <c r="F105" s="72"/>
      <c r="G105" s="72"/>
      <c r="H105" s="72"/>
      <c r="I105" s="72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7"/>
    </row>
    <row r="106" spans="1:20" ht="12.75" outlineLevel="1">
      <c r="A106" s="76"/>
      <c r="B106" s="76"/>
      <c r="C106" s="76"/>
      <c r="D106" s="76"/>
      <c r="E106" s="79" t="s">
        <v>189</v>
      </c>
      <c r="F106" s="72"/>
      <c r="G106" s="72"/>
      <c r="H106" s="72"/>
      <c r="I106" s="72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7"/>
    </row>
    <row r="107" spans="1:20" ht="12.75" outlineLevel="1">
      <c r="A107" s="80"/>
      <c r="B107" s="80"/>
      <c r="C107" s="80"/>
      <c r="D107" s="80"/>
      <c r="E107" s="81" t="s">
        <v>190</v>
      </c>
      <c r="F107" s="72"/>
      <c r="G107" s="72"/>
      <c r="H107" s="72"/>
      <c r="I107" s="72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7"/>
    </row>
    <row r="108" spans="1:19" ht="12.75" outlineLevel="2">
      <c r="A108" s="82" t="s">
        <v>191</v>
      </c>
      <c r="B108" s="82"/>
      <c r="C108" s="82"/>
      <c r="D108" s="82"/>
      <c r="E108" s="83" t="s">
        <v>192</v>
      </c>
      <c r="F108" s="84"/>
      <c r="G108" s="85"/>
      <c r="H108" s="85"/>
      <c r="I108" s="86"/>
      <c r="J108" s="87" t="str">
        <f aca="true" t="shared" si="4" ref="J108:S108">IF(J4+J24+J26&gt;=J15-J18,"TAK","NIE")</f>
        <v>TAK</v>
      </c>
      <c r="K108" s="88" t="str">
        <f t="shared" si="4"/>
        <v>TAK</v>
      </c>
      <c r="L108" s="88" t="str">
        <f t="shared" si="4"/>
        <v>TAK</v>
      </c>
      <c r="M108" s="88" t="str">
        <f t="shared" si="4"/>
        <v>TAK</v>
      </c>
      <c r="N108" s="88" t="str">
        <f t="shared" si="4"/>
        <v>TAK</v>
      </c>
      <c r="O108" s="88" t="str">
        <f t="shared" si="4"/>
        <v>TAK</v>
      </c>
      <c r="P108" s="88" t="str">
        <f t="shared" si="4"/>
        <v>TAK</v>
      </c>
      <c r="Q108" s="88" t="str">
        <f t="shared" si="4"/>
        <v>TAK</v>
      </c>
      <c r="R108" s="88" t="str">
        <f t="shared" si="4"/>
        <v>TAK</v>
      </c>
      <c r="S108" s="88" t="str">
        <f t="shared" si="4"/>
        <v>TAK</v>
      </c>
    </row>
    <row r="109" spans="1:19" ht="12.75" outlineLevel="2">
      <c r="A109" s="89"/>
      <c r="B109" s="89"/>
      <c r="C109" s="89"/>
      <c r="D109" s="89"/>
      <c r="E109" s="90" t="s">
        <v>193</v>
      </c>
      <c r="F109" s="91"/>
      <c r="G109" s="92"/>
      <c r="H109" s="92"/>
      <c r="I109" s="93"/>
      <c r="J109" s="94" t="str">
        <f>IF(J47&lt;=15%,"TAK","NIE")</f>
        <v>TAK</v>
      </c>
      <c r="K109" s="95" t="s">
        <v>39</v>
      </c>
      <c r="L109" s="95" t="s">
        <v>39</v>
      </c>
      <c r="M109" s="95" t="s">
        <v>39</v>
      </c>
      <c r="N109" s="95" t="s">
        <v>39</v>
      </c>
      <c r="O109" s="95" t="s">
        <v>39</v>
      </c>
      <c r="P109" s="95" t="s">
        <v>39</v>
      </c>
      <c r="Q109" s="95" t="s">
        <v>39</v>
      </c>
      <c r="R109" s="95" t="s">
        <v>39</v>
      </c>
      <c r="S109" s="95" t="s">
        <v>39</v>
      </c>
    </row>
    <row r="110" spans="1:19" ht="12.75" outlineLevel="2">
      <c r="A110" s="89"/>
      <c r="B110" s="89"/>
      <c r="C110" s="89"/>
      <c r="D110" s="89"/>
      <c r="E110" s="90" t="s">
        <v>194</v>
      </c>
      <c r="F110" s="91"/>
      <c r="G110" s="92"/>
      <c r="H110" s="92"/>
      <c r="I110" s="93"/>
      <c r="J110" s="94" t="str">
        <f>IF(J48&lt;=15%,"TAK","NIE")</f>
        <v>TAK</v>
      </c>
      <c r="K110" s="95" t="s">
        <v>39</v>
      </c>
      <c r="L110" s="95" t="s">
        <v>39</v>
      </c>
      <c r="M110" s="95" t="s">
        <v>39</v>
      </c>
      <c r="N110" s="95" t="s">
        <v>39</v>
      </c>
      <c r="O110" s="95" t="s">
        <v>39</v>
      </c>
      <c r="P110" s="95" t="s">
        <v>39</v>
      </c>
      <c r="Q110" s="95" t="s">
        <v>39</v>
      </c>
      <c r="R110" s="95" t="s">
        <v>39</v>
      </c>
      <c r="S110" s="95" t="s">
        <v>39</v>
      </c>
    </row>
    <row r="111" spans="1:19" ht="12.75" outlineLevel="2">
      <c r="A111" s="89"/>
      <c r="B111" s="89"/>
      <c r="C111" s="89"/>
      <c r="D111" s="89"/>
      <c r="E111" s="90" t="s">
        <v>195</v>
      </c>
      <c r="F111" s="91"/>
      <c r="G111" s="92"/>
      <c r="H111" s="92"/>
      <c r="I111" s="93"/>
      <c r="J111" s="94" t="str">
        <f>IF(J40&lt;=60%,"TAK","NIE")</f>
        <v>TAK</v>
      </c>
      <c r="K111" s="95" t="s">
        <v>39</v>
      </c>
      <c r="L111" s="95" t="s">
        <v>39</v>
      </c>
      <c r="M111" s="95" t="s">
        <v>39</v>
      </c>
      <c r="N111" s="95" t="s">
        <v>39</v>
      </c>
      <c r="O111" s="95" t="s">
        <v>39</v>
      </c>
      <c r="P111" s="95" t="s">
        <v>39</v>
      </c>
      <c r="Q111" s="95" t="s">
        <v>39</v>
      </c>
      <c r="R111" s="95" t="s">
        <v>39</v>
      </c>
      <c r="S111" s="95" t="s">
        <v>39</v>
      </c>
    </row>
    <row r="112" spans="1:19" ht="12.75" outlineLevel="2">
      <c r="A112" s="89"/>
      <c r="B112" s="89"/>
      <c r="C112" s="89"/>
      <c r="D112" s="89"/>
      <c r="E112" s="90" t="s">
        <v>196</v>
      </c>
      <c r="F112" s="91"/>
      <c r="G112" s="92"/>
      <c r="H112" s="92"/>
      <c r="I112" s="93"/>
      <c r="J112" s="94" t="str">
        <f>IF(J41&lt;=60%,"TAK","NIE")</f>
        <v>TAK</v>
      </c>
      <c r="K112" s="95" t="s">
        <v>39</v>
      </c>
      <c r="L112" s="95" t="s">
        <v>39</v>
      </c>
      <c r="M112" s="95" t="s">
        <v>39</v>
      </c>
      <c r="N112" s="95" t="s">
        <v>39</v>
      </c>
      <c r="O112" s="95" t="s">
        <v>39</v>
      </c>
      <c r="P112" s="95" t="s">
        <v>39</v>
      </c>
      <c r="Q112" s="95" t="s">
        <v>39</v>
      </c>
      <c r="R112" s="95" t="s">
        <v>39</v>
      </c>
      <c r="S112" s="95" t="s">
        <v>39</v>
      </c>
    </row>
    <row r="113" spans="1:19" ht="12.75" outlineLevel="2">
      <c r="A113" s="89" t="s">
        <v>197</v>
      </c>
      <c r="B113" s="89"/>
      <c r="C113" s="89"/>
      <c r="D113" s="89"/>
      <c r="E113" s="90" t="s">
        <v>198</v>
      </c>
      <c r="F113" s="91"/>
      <c r="G113" s="92"/>
      <c r="H113" s="92"/>
      <c r="I113" s="93"/>
      <c r="J113" s="94" t="s">
        <v>39</v>
      </c>
      <c r="K113" s="95" t="s">
        <v>39</v>
      </c>
      <c r="L113" s="95" t="str">
        <f aca="true" t="shared" si="5" ref="L113:S113">IF(L85=0,"TAK","BŁĄD")</f>
        <v>TAK</v>
      </c>
      <c r="M113" s="95" t="str">
        <f t="shared" si="5"/>
        <v>TAK</v>
      </c>
      <c r="N113" s="95" t="str">
        <f t="shared" si="5"/>
        <v>TAK</v>
      </c>
      <c r="O113" s="95" t="str">
        <f t="shared" si="5"/>
        <v>TAK</v>
      </c>
      <c r="P113" s="95" t="str">
        <f t="shared" si="5"/>
        <v>TAK</v>
      </c>
      <c r="Q113" s="95" t="str">
        <f t="shared" si="5"/>
        <v>TAK</v>
      </c>
      <c r="R113" s="95" t="str">
        <f t="shared" si="5"/>
        <v>TAK</v>
      </c>
      <c r="S113" s="95" t="str">
        <f t="shared" si="5"/>
        <v>TAK</v>
      </c>
    </row>
    <row r="114" spans="1:19" ht="12.75" outlineLevel="1">
      <c r="A114" s="89" t="s">
        <v>199</v>
      </c>
      <c r="B114" s="89"/>
      <c r="C114" s="89"/>
      <c r="D114" s="89"/>
      <c r="E114" s="96" t="s">
        <v>200</v>
      </c>
      <c r="F114" s="91"/>
      <c r="G114" s="92"/>
      <c r="H114" s="92"/>
      <c r="I114" s="93"/>
      <c r="J114" s="97" t="str">
        <f aca="true" t="shared" si="6" ref="J114:S114">IF(J3+J23-J14-J32=0,"OK",J3+J23-J14-J32)</f>
        <v>OK</v>
      </c>
      <c r="K114" s="98" t="str">
        <f t="shared" si="6"/>
        <v>OK</v>
      </c>
      <c r="L114" s="98" t="str">
        <f t="shared" si="6"/>
        <v>OK</v>
      </c>
      <c r="M114" s="98" t="str">
        <f t="shared" si="6"/>
        <v>OK</v>
      </c>
      <c r="N114" s="98" t="str">
        <f t="shared" si="6"/>
        <v>OK</v>
      </c>
      <c r="O114" s="98" t="str">
        <f t="shared" si="6"/>
        <v>OK</v>
      </c>
      <c r="P114" s="98" t="str">
        <f t="shared" si="6"/>
        <v>OK</v>
      </c>
      <c r="Q114" s="98" t="str">
        <f t="shared" si="6"/>
        <v>OK</v>
      </c>
      <c r="R114" s="98" t="str">
        <f t="shared" si="6"/>
        <v>OK</v>
      </c>
      <c r="S114" s="98" t="str">
        <f t="shared" si="6"/>
        <v>OK</v>
      </c>
    </row>
    <row r="115" spans="1:19" ht="12.75" outlineLevel="2">
      <c r="A115" s="89" t="s">
        <v>201</v>
      </c>
      <c r="B115" s="89"/>
      <c r="C115" s="89"/>
      <c r="D115" s="89"/>
      <c r="E115" s="96" t="s">
        <v>202</v>
      </c>
      <c r="F115" s="91"/>
      <c r="G115" s="92"/>
      <c r="H115" s="92"/>
      <c r="I115" s="93"/>
      <c r="J115" s="97" t="str">
        <f aca="true" t="shared" si="7" ref="J115:S115">+IF(I37+J28-J33+(J42-I42)+(J92-I92)+J97-J37=0,"OK",I37+J28-J33+(J42-I42)+(J92-I92)+J97-J37)</f>
        <v>OK</v>
      </c>
      <c r="K115" s="98" t="str">
        <f t="shared" si="7"/>
        <v>OK</v>
      </c>
      <c r="L115" s="98" t="str">
        <f t="shared" si="7"/>
        <v>OK</v>
      </c>
      <c r="M115" s="98" t="str">
        <f t="shared" si="7"/>
        <v>OK</v>
      </c>
      <c r="N115" s="98" t="str">
        <f t="shared" si="7"/>
        <v>OK</v>
      </c>
      <c r="O115" s="98" t="str">
        <f t="shared" si="7"/>
        <v>OK</v>
      </c>
      <c r="P115" s="98" t="str">
        <f t="shared" si="7"/>
        <v>OK</v>
      </c>
      <c r="Q115" s="98" t="str">
        <f t="shared" si="7"/>
        <v>OK</v>
      </c>
      <c r="R115" s="98" t="str">
        <f t="shared" si="7"/>
        <v>OK</v>
      </c>
      <c r="S115" s="98" t="str">
        <f t="shared" si="7"/>
        <v>OK</v>
      </c>
    </row>
    <row r="116" spans="1:19" ht="12.75" outlineLevel="2">
      <c r="A116" s="89" t="s">
        <v>203</v>
      </c>
      <c r="B116" s="89"/>
      <c r="C116" s="89"/>
      <c r="D116" s="89"/>
      <c r="E116" s="96" t="s">
        <v>204</v>
      </c>
      <c r="F116" s="99"/>
      <c r="G116" s="92"/>
      <c r="H116" s="92"/>
      <c r="I116" s="93"/>
      <c r="J116" s="97" t="str">
        <f>+IF(I92-J93-J92=0,"OK",I92-J93-J92)</f>
        <v>OK</v>
      </c>
      <c r="K116" s="98" t="str">
        <f aca="true" t="shared" si="8" ref="K116:S116">+IF(J92-K93-K92=0,"OK",J92-K93-K92)</f>
        <v>OK</v>
      </c>
      <c r="L116" s="98" t="str">
        <f t="shared" si="8"/>
        <v>OK</v>
      </c>
      <c r="M116" s="98" t="str">
        <f t="shared" si="8"/>
        <v>OK</v>
      </c>
      <c r="N116" s="98" t="str">
        <f t="shared" si="8"/>
        <v>OK</v>
      </c>
      <c r="O116" s="98" t="str">
        <f t="shared" si="8"/>
        <v>OK</v>
      </c>
      <c r="P116" s="98" t="str">
        <f t="shared" si="8"/>
        <v>OK</v>
      </c>
      <c r="Q116" s="98" t="str">
        <f t="shared" si="8"/>
        <v>OK</v>
      </c>
      <c r="R116" s="98" t="str">
        <f t="shared" si="8"/>
        <v>OK</v>
      </c>
      <c r="S116" s="98" t="str">
        <f t="shared" si="8"/>
        <v>OK</v>
      </c>
    </row>
    <row r="117" spans="1:19" ht="12.75" outlineLevel="2">
      <c r="A117" s="89" t="s">
        <v>205</v>
      </c>
      <c r="B117" s="89"/>
      <c r="C117" s="89"/>
      <c r="D117" s="89"/>
      <c r="E117" s="96" t="s">
        <v>206</v>
      </c>
      <c r="F117" s="91"/>
      <c r="G117" s="92"/>
      <c r="H117" s="92"/>
      <c r="I117" s="93"/>
      <c r="J117" s="97" t="str">
        <f aca="true" t="shared" si="9" ref="J117:S117">IF(I83-(I85+I86+I87+I88)-J83=0,"OK",I83-(I85+I86+I87+I88)-J83)</f>
        <v>OK</v>
      </c>
      <c r="K117" s="98" t="str">
        <f t="shared" si="9"/>
        <v>OK</v>
      </c>
      <c r="L117" s="98" t="str">
        <f t="shared" si="9"/>
        <v>OK</v>
      </c>
      <c r="M117" s="98" t="str">
        <f t="shared" si="9"/>
        <v>OK</v>
      </c>
      <c r="N117" s="98" t="str">
        <f t="shared" si="9"/>
        <v>OK</v>
      </c>
      <c r="O117" s="98" t="str">
        <f t="shared" si="9"/>
        <v>OK</v>
      </c>
      <c r="P117" s="98" t="str">
        <f t="shared" si="9"/>
        <v>OK</v>
      </c>
      <c r="Q117" s="98" t="str">
        <f t="shared" si="9"/>
        <v>OK</v>
      </c>
      <c r="R117" s="98" t="str">
        <f t="shared" si="9"/>
        <v>OK</v>
      </c>
      <c r="S117" s="98" t="str">
        <f t="shared" si="9"/>
        <v>OK</v>
      </c>
    </row>
    <row r="118" spans="1:19" ht="12.75" outlineLevel="1">
      <c r="A118" s="89" t="s">
        <v>207</v>
      </c>
      <c r="B118" s="89"/>
      <c r="C118" s="89"/>
      <c r="D118" s="89"/>
      <c r="E118" s="100" t="s">
        <v>208</v>
      </c>
      <c r="F118" s="91"/>
      <c r="G118" s="92"/>
      <c r="H118" s="92"/>
      <c r="I118" s="93"/>
      <c r="J118" s="101" t="str">
        <f>IF(J22&lt;0,IF(J25+J27+J29+J31+J22=0,"OK",J25+J27+J29+J31+J22),"N/D")</f>
        <v>OK</v>
      </c>
      <c r="K118" s="102" t="str">
        <f aca="true" t="shared" si="10" ref="K118:S118">IF(K22&lt;0,IF(K25+K27+K29+K31+K22=0,"OK",K25+K27+K29+K31+K22),"N/D")</f>
        <v>N/D</v>
      </c>
      <c r="L118" s="102" t="str">
        <f t="shared" si="10"/>
        <v>N/D</v>
      </c>
      <c r="M118" s="102" t="str">
        <f t="shared" si="10"/>
        <v>N/D</v>
      </c>
      <c r="N118" s="102" t="str">
        <f t="shared" si="10"/>
        <v>N/D</v>
      </c>
      <c r="O118" s="102" t="str">
        <f t="shared" si="10"/>
        <v>N/D</v>
      </c>
      <c r="P118" s="102" t="str">
        <f t="shared" si="10"/>
        <v>N/D</v>
      </c>
      <c r="Q118" s="102" t="str">
        <f t="shared" si="10"/>
        <v>N/D</v>
      </c>
      <c r="R118" s="102" t="str">
        <f t="shared" si="10"/>
        <v>N/D</v>
      </c>
      <c r="S118" s="102" t="str">
        <f t="shared" si="10"/>
        <v>N/D</v>
      </c>
    </row>
    <row r="119" spans="1:19" ht="12.75" outlineLevel="2">
      <c r="A119" s="89" t="s">
        <v>209</v>
      </c>
      <c r="B119" s="89"/>
      <c r="C119" s="89"/>
      <c r="D119" s="89"/>
      <c r="E119" s="100" t="s">
        <v>210</v>
      </c>
      <c r="F119" s="91"/>
      <c r="G119" s="92"/>
      <c r="H119" s="92"/>
      <c r="I119" s="93"/>
      <c r="J119" s="101" t="str">
        <f aca="true" t="shared" si="11" ref="J119:S119">IF(J22&gt;=0,IF(J25+J27+J29+J31=0,"OK",J25+J27+J29+J31),"N/D")</f>
        <v>N/D</v>
      </c>
      <c r="K119" s="102" t="str">
        <f t="shared" si="11"/>
        <v>OK</v>
      </c>
      <c r="L119" s="102" t="str">
        <f t="shared" si="11"/>
        <v>OK</v>
      </c>
      <c r="M119" s="102" t="str">
        <f t="shared" si="11"/>
        <v>OK</v>
      </c>
      <c r="N119" s="102" t="str">
        <f t="shared" si="11"/>
        <v>OK</v>
      </c>
      <c r="O119" s="102" t="str">
        <f t="shared" si="11"/>
        <v>OK</v>
      </c>
      <c r="P119" s="102" t="str">
        <f t="shared" si="11"/>
        <v>OK</v>
      </c>
      <c r="Q119" s="102" t="str">
        <f t="shared" si="11"/>
        <v>OK</v>
      </c>
      <c r="R119" s="102" t="str">
        <f t="shared" si="11"/>
        <v>OK</v>
      </c>
      <c r="S119" s="102" t="str">
        <f t="shared" si="11"/>
        <v>OK</v>
      </c>
    </row>
    <row r="120" spans="1:19" ht="12.75" outlineLevel="2">
      <c r="A120" s="89" t="s">
        <v>211</v>
      </c>
      <c r="B120" s="89"/>
      <c r="C120" s="89"/>
      <c r="D120" s="89"/>
      <c r="E120" s="100" t="s">
        <v>212</v>
      </c>
      <c r="F120" s="91"/>
      <c r="G120" s="92"/>
      <c r="H120" s="92"/>
      <c r="I120" s="93"/>
      <c r="J120" s="94" t="str">
        <f aca="true" t="shared" si="12" ref="J120:S120">IF(J7&gt;=J8,"OK","BŁĄD")</f>
        <v>OK</v>
      </c>
      <c r="K120" s="95" t="str">
        <f t="shared" si="12"/>
        <v>OK</v>
      </c>
      <c r="L120" s="95" t="str">
        <f t="shared" si="12"/>
        <v>OK</v>
      </c>
      <c r="M120" s="95" t="str">
        <f t="shared" si="12"/>
        <v>OK</v>
      </c>
      <c r="N120" s="95" t="str">
        <f t="shared" si="12"/>
        <v>OK</v>
      </c>
      <c r="O120" s="95" t="str">
        <f t="shared" si="12"/>
        <v>OK</v>
      </c>
      <c r="P120" s="95" t="str">
        <f t="shared" si="12"/>
        <v>OK</v>
      </c>
      <c r="Q120" s="95" t="str">
        <f t="shared" si="12"/>
        <v>OK</v>
      </c>
      <c r="R120" s="95" t="str">
        <f t="shared" si="12"/>
        <v>OK</v>
      </c>
      <c r="S120" s="95" t="str">
        <f t="shared" si="12"/>
        <v>OK</v>
      </c>
    </row>
    <row r="121" spans="1:19" ht="12.75" outlineLevel="2">
      <c r="A121" s="89" t="s">
        <v>213</v>
      </c>
      <c r="B121" s="89"/>
      <c r="C121" s="89"/>
      <c r="D121" s="89"/>
      <c r="E121" s="100" t="s">
        <v>214</v>
      </c>
      <c r="F121" s="91"/>
      <c r="G121" s="92"/>
      <c r="H121" s="92"/>
      <c r="I121" s="93"/>
      <c r="J121" s="94" t="str">
        <f aca="true" t="shared" si="13" ref="J121:S121">IF(J10&gt;=J84,"OK","BŁĄD")</f>
        <v>OK</v>
      </c>
      <c r="K121" s="95" t="str">
        <f t="shared" si="13"/>
        <v>OK</v>
      </c>
      <c r="L121" s="95" t="str">
        <f t="shared" si="13"/>
        <v>OK</v>
      </c>
      <c r="M121" s="95" t="str">
        <f t="shared" si="13"/>
        <v>OK</v>
      </c>
      <c r="N121" s="95" t="str">
        <f t="shared" si="13"/>
        <v>OK</v>
      </c>
      <c r="O121" s="95" t="str">
        <f t="shared" si="13"/>
        <v>OK</v>
      </c>
      <c r="P121" s="95" t="str">
        <f t="shared" si="13"/>
        <v>OK</v>
      </c>
      <c r="Q121" s="95" t="str">
        <f t="shared" si="13"/>
        <v>OK</v>
      </c>
      <c r="R121" s="95" t="str">
        <f t="shared" si="13"/>
        <v>OK</v>
      </c>
      <c r="S121" s="95" t="str">
        <f t="shared" si="13"/>
        <v>OK</v>
      </c>
    </row>
    <row r="122" spans="1:19" ht="12.75" outlineLevel="2">
      <c r="A122" s="89" t="s">
        <v>215</v>
      </c>
      <c r="B122" s="89"/>
      <c r="C122" s="89"/>
      <c r="D122" s="89"/>
      <c r="E122" s="100" t="s">
        <v>216</v>
      </c>
      <c r="F122" s="91"/>
      <c r="G122" s="92"/>
      <c r="H122" s="92"/>
      <c r="I122" s="93"/>
      <c r="J122" s="94" t="str">
        <f aca="true" t="shared" si="14" ref="J122:S122">IF(J4&gt;=J5+J6+J7+J9+J10,"OK","BŁĄD")</f>
        <v>OK</v>
      </c>
      <c r="K122" s="95" t="str">
        <f t="shared" si="14"/>
        <v>OK</v>
      </c>
      <c r="L122" s="95" t="str">
        <f t="shared" si="14"/>
        <v>OK</v>
      </c>
      <c r="M122" s="95" t="str">
        <f t="shared" si="14"/>
        <v>OK</v>
      </c>
      <c r="N122" s="95" t="str">
        <f t="shared" si="14"/>
        <v>OK</v>
      </c>
      <c r="O122" s="95" t="str">
        <f t="shared" si="14"/>
        <v>OK</v>
      </c>
      <c r="P122" s="95" t="str">
        <f t="shared" si="14"/>
        <v>OK</v>
      </c>
      <c r="Q122" s="95" t="str">
        <f t="shared" si="14"/>
        <v>OK</v>
      </c>
      <c r="R122" s="95" t="str">
        <f t="shared" si="14"/>
        <v>OK</v>
      </c>
      <c r="S122" s="95" t="str">
        <f t="shared" si="14"/>
        <v>OK</v>
      </c>
    </row>
    <row r="123" spans="1:19" ht="12.75" outlineLevel="2">
      <c r="A123" s="89" t="s">
        <v>217</v>
      </c>
      <c r="B123" s="89"/>
      <c r="C123" s="89"/>
      <c r="D123" s="89"/>
      <c r="E123" s="100" t="s">
        <v>218</v>
      </c>
      <c r="F123" s="91"/>
      <c r="G123" s="92"/>
      <c r="H123" s="92"/>
      <c r="I123" s="93"/>
      <c r="J123" s="94" t="str">
        <f aca="true" t="shared" si="15" ref="J123:S123">IF(J4&gt;=J70,"OK","BŁĄD")</f>
        <v>OK</v>
      </c>
      <c r="K123" s="95" t="str">
        <f t="shared" si="15"/>
        <v>OK</v>
      </c>
      <c r="L123" s="95" t="str">
        <f t="shared" si="15"/>
        <v>OK</v>
      </c>
      <c r="M123" s="95" t="str">
        <f t="shared" si="15"/>
        <v>OK</v>
      </c>
      <c r="N123" s="95" t="str">
        <f t="shared" si="15"/>
        <v>OK</v>
      </c>
      <c r="O123" s="95" t="str">
        <f t="shared" si="15"/>
        <v>OK</v>
      </c>
      <c r="P123" s="95" t="str">
        <f t="shared" si="15"/>
        <v>OK</v>
      </c>
      <c r="Q123" s="95" t="str">
        <f t="shared" si="15"/>
        <v>OK</v>
      </c>
      <c r="R123" s="95" t="str">
        <f t="shared" si="15"/>
        <v>OK</v>
      </c>
      <c r="S123" s="95" t="str">
        <f t="shared" si="15"/>
        <v>OK</v>
      </c>
    </row>
    <row r="124" spans="1:19" ht="12.75" outlineLevel="2">
      <c r="A124" s="89" t="s">
        <v>219</v>
      </c>
      <c r="B124" s="89"/>
      <c r="C124" s="89"/>
      <c r="D124" s="89"/>
      <c r="E124" s="100" t="s">
        <v>220</v>
      </c>
      <c r="F124" s="91"/>
      <c r="G124" s="92"/>
      <c r="H124" s="92"/>
      <c r="I124" s="93"/>
      <c r="J124" s="94" t="str">
        <f aca="true" t="shared" si="16" ref="J124:S124">IF(J11&gt;=J12,"OK","BŁĄD")</f>
        <v>OK</v>
      </c>
      <c r="K124" s="95" t="str">
        <f t="shared" si="16"/>
        <v>OK</v>
      </c>
      <c r="L124" s="95" t="str">
        <f t="shared" si="16"/>
        <v>OK</v>
      </c>
      <c r="M124" s="95" t="str">
        <f t="shared" si="16"/>
        <v>OK</v>
      </c>
      <c r="N124" s="95" t="str">
        <f t="shared" si="16"/>
        <v>OK</v>
      </c>
      <c r="O124" s="95" t="str">
        <f t="shared" si="16"/>
        <v>OK</v>
      </c>
      <c r="P124" s="95" t="str">
        <f t="shared" si="16"/>
        <v>OK</v>
      </c>
      <c r="Q124" s="95" t="str">
        <f t="shared" si="16"/>
        <v>OK</v>
      </c>
      <c r="R124" s="95" t="str">
        <f t="shared" si="16"/>
        <v>OK</v>
      </c>
      <c r="S124" s="95" t="str">
        <f t="shared" si="16"/>
        <v>OK</v>
      </c>
    </row>
    <row r="125" spans="1:19" ht="12.75" outlineLevel="2">
      <c r="A125" s="89" t="s">
        <v>221</v>
      </c>
      <c r="B125" s="89"/>
      <c r="C125" s="89"/>
      <c r="D125" s="89"/>
      <c r="E125" s="100" t="s">
        <v>222</v>
      </c>
      <c r="F125" s="91"/>
      <c r="G125" s="92"/>
      <c r="H125" s="92"/>
      <c r="I125" s="93"/>
      <c r="J125" s="94" t="str">
        <f aca="true" t="shared" si="17" ref="J125:S125">IF(J11&gt;=J13,"OK","BŁĄD")</f>
        <v>OK</v>
      </c>
      <c r="K125" s="95" t="str">
        <f t="shared" si="17"/>
        <v>OK</v>
      </c>
      <c r="L125" s="95" t="str">
        <f t="shared" si="17"/>
        <v>OK</v>
      </c>
      <c r="M125" s="95" t="str">
        <f t="shared" si="17"/>
        <v>OK</v>
      </c>
      <c r="N125" s="95" t="str">
        <f t="shared" si="17"/>
        <v>OK</v>
      </c>
      <c r="O125" s="95" t="str">
        <f t="shared" si="17"/>
        <v>OK</v>
      </c>
      <c r="P125" s="95" t="str">
        <f t="shared" si="17"/>
        <v>OK</v>
      </c>
      <c r="Q125" s="95" t="str">
        <f t="shared" si="17"/>
        <v>OK</v>
      </c>
      <c r="R125" s="95" t="str">
        <f t="shared" si="17"/>
        <v>OK</v>
      </c>
      <c r="S125" s="95" t="str">
        <f t="shared" si="17"/>
        <v>OK</v>
      </c>
    </row>
    <row r="126" spans="1:19" ht="12.75" outlineLevel="2">
      <c r="A126" s="89" t="s">
        <v>223</v>
      </c>
      <c r="B126" s="89"/>
      <c r="C126" s="89"/>
      <c r="D126" s="89"/>
      <c r="E126" s="100" t="s">
        <v>224</v>
      </c>
      <c r="F126" s="91"/>
      <c r="G126" s="92"/>
      <c r="H126" s="92"/>
      <c r="I126" s="93"/>
      <c r="J126" s="94" t="str">
        <f aca="true" t="shared" si="18" ref="J126:S126">IF(J11&gt;=J73,"OK","BŁĄD")</f>
        <v>OK</v>
      </c>
      <c r="K126" s="95" t="str">
        <f t="shared" si="18"/>
        <v>OK</v>
      </c>
      <c r="L126" s="95" t="str">
        <f t="shared" si="18"/>
        <v>OK</v>
      </c>
      <c r="M126" s="95" t="str">
        <f t="shared" si="18"/>
        <v>OK</v>
      </c>
      <c r="N126" s="95" t="str">
        <f t="shared" si="18"/>
        <v>OK</v>
      </c>
      <c r="O126" s="95" t="str">
        <f t="shared" si="18"/>
        <v>OK</v>
      </c>
      <c r="P126" s="95" t="str">
        <f t="shared" si="18"/>
        <v>OK</v>
      </c>
      <c r="Q126" s="95" t="str">
        <f t="shared" si="18"/>
        <v>OK</v>
      </c>
      <c r="R126" s="95" t="str">
        <f t="shared" si="18"/>
        <v>OK</v>
      </c>
      <c r="S126" s="95" t="str">
        <f t="shared" si="18"/>
        <v>OK</v>
      </c>
    </row>
    <row r="127" spans="1:19" ht="12.75" outlineLevel="2">
      <c r="A127" s="89" t="s">
        <v>225</v>
      </c>
      <c r="B127" s="89"/>
      <c r="C127" s="89"/>
      <c r="D127" s="89"/>
      <c r="E127" s="100" t="s">
        <v>226</v>
      </c>
      <c r="F127" s="91"/>
      <c r="G127" s="92"/>
      <c r="H127" s="92"/>
      <c r="I127" s="93"/>
      <c r="J127" s="94" t="str">
        <f aca="true" t="shared" si="19" ref="J127:S127">IF(J58&gt;=J59,"OK","BŁĄD")</f>
        <v>OK</v>
      </c>
      <c r="K127" s="95" t="str">
        <f t="shared" si="19"/>
        <v>OK</v>
      </c>
      <c r="L127" s="95" t="str">
        <f t="shared" si="19"/>
        <v>OK</v>
      </c>
      <c r="M127" s="95" t="str">
        <f t="shared" si="19"/>
        <v>OK</v>
      </c>
      <c r="N127" s="95" t="str">
        <f t="shared" si="19"/>
        <v>OK</v>
      </c>
      <c r="O127" s="95" t="str">
        <f t="shared" si="19"/>
        <v>OK</v>
      </c>
      <c r="P127" s="95" t="str">
        <f t="shared" si="19"/>
        <v>OK</v>
      </c>
      <c r="Q127" s="95" t="str">
        <f t="shared" si="19"/>
        <v>OK</v>
      </c>
      <c r="R127" s="95" t="str">
        <f t="shared" si="19"/>
        <v>OK</v>
      </c>
      <c r="S127" s="95" t="str">
        <f t="shared" si="19"/>
        <v>OK</v>
      </c>
    </row>
    <row r="128" spans="1:19" ht="12.75" outlineLevel="2">
      <c r="A128" s="89" t="s">
        <v>227</v>
      </c>
      <c r="B128" s="89"/>
      <c r="C128" s="89"/>
      <c r="D128" s="89"/>
      <c r="E128" s="100" t="s">
        <v>228</v>
      </c>
      <c r="F128" s="91"/>
      <c r="G128" s="92"/>
      <c r="H128" s="92"/>
      <c r="I128" s="93"/>
      <c r="J128" s="94" t="str">
        <f aca="true" t="shared" si="20" ref="J128:S128">IF(J70&gt;=J71,"OK","BŁĄD")</f>
        <v>OK</v>
      </c>
      <c r="K128" s="95" t="str">
        <f t="shared" si="20"/>
        <v>OK</v>
      </c>
      <c r="L128" s="95" t="str">
        <f t="shared" si="20"/>
        <v>OK</v>
      </c>
      <c r="M128" s="95" t="str">
        <f t="shared" si="20"/>
        <v>OK</v>
      </c>
      <c r="N128" s="95" t="str">
        <f t="shared" si="20"/>
        <v>OK</v>
      </c>
      <c r="O128" s="95" t="str">
        <f t="shared" si="20"/>
        <v>OK</v>
      </c>
      <c r="P128" s="95" t="str">
        <f t="shared" si="20"/>
        <v>OK</v>
      </c>
      <c r="Q128" s="95" t="str">
        <f t="shared" si="20"/>
        <v>OK</v>
      </c>
      <c r="R128" s="95" t="str">
        <f t="shared" si="20"/>
        <v>OK</v>
      </c>
      <c r="S128" s="95" t="str">
        <f t="shared" si="20"/>
        <v>OK</v>
      </c>
    </row>
    <row r="129" spans="1:19" ht="12.75" outlineLevel="2">
      <c r="A129" s="89" t="s">
        <v>229</v>
      </c>
      <c r="B129" s="89"/>
      <c r="C129" s="89"/>
      <c r="D129" s="89"/>
      <c r="E129" s="100" t="s">
        <v>230</v>
      </c>
      <c r="F129" s="91"/>
      <c r="G129" s="92"/>
      <c r="H129" s="92"/>
      <c r="I129" s="93"/>
      <c r="J129" s="94" t="str">
        <f aca="true" t="shared" si="21" ref="J129:S129">IF(J71&gt;=J72,"OK","BŁĄD")</f>
        <v>OK</v>
      </c>
      <c r="K129" s="95" t="str">
        <f t="shared" si="21"/>
        <v>OK</v>
      </c>
      <c r="L129" s="95" t="str">
        <f t="shared" si="21"/>
        <v>OK</v>
      </c>
      <c r="M129" s="95" t="str">
        <f t="shared" si="21"/>
        <v>OK</v>
      </c>
      <c r="N129" s="95" t="str">
        <f t="shared" si="21"/>
        <v>OK</v>
      </c>
      <c r="O129" s="95" t="str">
        <f t="shared" si="21"/>
        <v>OK</v>
      </c>
      <c r="P129" s="95" t="str">
        <f t="shared" si="21"/>
        <v>OK</v>
      </c>
      <c r="Q129" s="95" t="str">
        <f t="shared" si="21"/>
        <v>OK</v>
      </c>
      <c r="R129" s="95" t="str">
        <f t="shared" si="21"/>
        <v>OK</v>
      </c>
      <c r="S129" s="95" t="str">
        <f t="shared" si="21"/>
        <v>OK</v>
      </c>
    </row>
    <row r="130" spans="1:19" ht="12.75" outlineLevel="2">
      <c r="A130" s="89" t="s">
        <v>231</v>
      </c>
      <c r="B130" s="89"/>
      <c r="C130" s="89"/>
      <c r="D130" s="89"/>
      <c r="E130" s="100" t="s">
        <v>232</v>
      </c>
      <c r="F130" s="91"/>
      <c r="G130" s="92"/>
      <c r="H130" s="92"/>
      <c r="I130" s="93"/>
      <c r="J130" s="94" t="str">
        <f aca="true" t="shared" si="22" ref="J130:S130">IF(J73&gt;=J74,"OK","BŁĄD")</f>
        <v>OK</v>
      </c>
      <c r="K130" s="95" t="str">
        <f t="shared" si="22"/>
        <v>OK</v>
      </c>
      <c r="L130" s="95" t="str">
        <f t="shared" si="22"/>
        <v>OK</v>
      </c>
      <c r="M130" s="95" t="str">
        <f t="shared" si="22"/>
        <v>OK</v>
      </c>
      <c r="N130" s="95" t="str">
        <f t="shared" si="22"/>
        <v>OK</v>
      </c>
      <c r="O130" s="95" t="str">
        <f t="shared" si="22"/>
        <v>OK</v>
      </c>
      <c r="P130" s="95" t="str">
        <f t="shared" si="22"/>
        <v>OK</v>
      </c>
      <c r="Q130" s="95" t="str">
        <f t="shared" si="22"/>
        <v>OK</v>
      </c>
      <c r="R130" s="95" t="str">
        <f t="shared" si="22"/>
        <v>OK</v>
      </c>
      <c r="S130" s="95" t="str">
        <f t="shared" si="22"/>
        <v>OK</v>
      </c>
    </row>
    <row r="131" spans="1:19" ht="12.75" outlineLevel="2">
      <c r="A131" s="89" t="s">
        <v>233</v>
      </c>
      <c r="B131" s="89"/>
      <c r="C131" s="89"/>
      <c r="D131" s="89"/>
      <c r="E131" s="100" t="s">
        <v>234</v>
      </c>
      <c r="F131" s="91"/>
      <c r="G131" s="92"/>
      <c r="H131" s="92"/>
      <c r="I131" s="93"/>
      <c r="J131" s="94" t="str">
        <f aca="true" t="shared" si="23" ref="J131:S131">IF(J74&gt;=J75,"OK","BŁĄD")</f>
        <v>OK</v>
      </c>
      <c r="K131" s="95" t="str">
        <f t="shared" si="23"/>
        <v>OK</v>
      </c>
      <c r="L131" s="95" t="str">
        <f t="shared" si="23"/>
        <v>OK</v>
      </c>
      <c r="M131" s="95" t="str">
        <f t="shared" si="23"/>
        <v>OK</v>
      </c>
      <c r="N131" s="95" t="str">
        <f t="shared" si="23"/>
        <v>OK</v>
      </c>
      <c r="O131" s="95" t="str">
        <f t="shared" si="23"/>
        <v>OK</v>
      </c>
      <c r="P131" s="95" t="str">
        <f t="shared" si="23"/>
        <v>OK</v>
      </c>
      <c r="Q131" s="95" t="str">
        <f t="shared" si="23"/>
        <v>OK</v>
      </c>
      <c r="R131" s="95" t="str">
        <f t="shared" si="23"/>
        <v>OK</v>
      </c>
      <c r="S131" s="95" t="str">
        <f t="shared" si="23"/>
        <v>OK</v>
      </c>
    </row>
    <row r="132" spans="1:19" ht="12.75" outlineLevel="2">
      <c r="A132" s="89" t="s">
        <v>235</v>
      </c>
      <c r="B132" s="89"/>
      <c r="C132" s="89"/>
      <c r="D132" s="89"/>
      <c r="E132" s="100" t="s">
        <v>236</v>
      </c>
      <c r="F132" s="91"/>
      <c r="G132" s="92"/>
      <c r="H132" s="92"/>
      <c r="I132" s="93"/>
      <c r="J132" s="94" t="str">
        <f aca="true" t="shared" si="24" ref="J132:S132">IF(J76&gt;=J77,"OK","BŁĄD")</f>
        <v>OK</v>
      </c>
      <c r="K132" s="95" t="str">
        <f t="shared" si="24"/>
        <v>OK</v>
      </c>
      <c r="L132" s="95" t="str">
        <f t="shared" si="24"/>
        <v>OK</v>
      </c>
      <c r="M132" s="95" t="str">
        <f t="shared" si="24"/>
        <v>OK</v>
      </c>
      <c r="N132" s="95" t="str">
        <f t="shared" si="24"/>
        <v>OK</v>
      </c>
      <c r="O132" s="95" t="str">
        <f t="shared" si="24"/>
        <v>OK</v>
      </c>
      <c r="P132" s="95" t="str">
        <f t="shared" si="24"/>
        <v>OK</v>
      </c>
      <c r="Q132" s="95" t="str">
        <f t="shared" si="24"/>
        <v>OK</v>
      </c>
      <c r="R132" s="95" t="str">
        <f t="shared" si="24"/>
        <v>OK</v>
      </c>
      <c r="S132" s="95" t="str">
        <f t="shared" si="24"/>
        <v>OK</v>
      </c>
    </row>
    <row r="133" spans="1:19" ht="12.75" outlineLevel="2">
      <c r="A133" s="89" t="s">
        <v>237</v>
      </c>
      <c r="B133" s="89"/>
      <c r="C133" s="89"/>
      <c r="D133" s="89"/>
      <c r="E133" s="100" t="s">
        <v>238</v>
      </c>
      <c r="F133" s="91"/>
      <c r="G133" s="92"/>
      <c r="H133" s="92"/>
      <c r="I133" s="93"/>
      <c r="J133" s="94" t="str">
        <f aca="true" t="shared" si="25" ref="J133:S133">IF(J76&gt;=J78,"OK","BŁĄD")</f>
        <v>OK</v>
      </c>
      <c r="K133" s="95" t="str">
        <f t="shared" si="25"/>
        <v>OK</v>
      </c>
      <c r="L133" s="95" t="str">
        <f t="shared" si="25"/>
        <v>OK</v>
      </c>
      <c r="M133" s="95" t="str">
        <f t="shared" si="25"/>
        <v>OK</v>
      </c>
      <c r="N133" s="95" t="str">
        <f t="shared" si="25"/>
        <v>OK</v>
      </c>
      <c r="O133" s="95" t="str">
        <f t="shared" si="25"/>
        <v>OK</v>
      </c>
      <c r="P133" s="95" t="str">
        <f t="shared" si="25"/>
        <v>OK</v>
      </c>
      <c r="Q133" s="95" t="str">
        <f t="shared" si="25"/>
        <v>OK</v>
      </c>
      <c r="R133" s="95" t="str">
        <f t="shared" si="25"/>
        <v>OK</v>
      </c>
      <c r="S133" s="95" t="str">
        <f t="shared" si="25"/>
        <v>OK</v>
      </c>
    </row>
    <row r="134" spans="1:19" ht="12.75" outlineLevel="2">
      <c r="A134" s="89" t="s">
        <v>239</v>
      </c>
      <c r="B134" s="89"/>
      <c r="C134" s="89"/>
      <c r="D134" s="89"/>
      <c r="E134" s="100" t="s">
        <v>240</v>
      </c>
      <c r="F134" s="91"/>
      <c r="G134" s="92"/>
      <c r="H134" s="92"/>
      <c r="I134" s="93"/>
      <c r="J134" s="94" t="str">
        <f aca="true" t="shared" si="26" ref="J134:S134">IF(J79&gt;=J80,"OK","BŁĄD")</f>
        <v>OK</v>
      </c>
      <c r="K134" s="95" t="str">
        <f t="shared" si="26"/>
        <v>OK</v>
      </c>
      <c r="L134" s="95" t="str">
        <f t="shared" si="26"/>
        <v>OK</v>
      </c>
      <c r="M134" s="95" t="str">
        <f t="shared" si="26"/>
        <v>OK</v>
      </c>
      <c r="N134" s="95" t="str">
        <f t="shared" si="26"/>
        <v>OK</v>
      </c>
      <c r="O134" s="95" t="str">
        <f t="shared" si="26"/>
        <v>OK</v>
      </c>
      <c r="P134" s="95" t="str">
        <f t="shared" si="26"/>
        <v>OK</v>
      </c>
      <c r="Q134" s="95" t="str">
        <f t="shared" si="26"/>
        <v>OK</v>
      </c>
      <c r="R134" s="95" t="str">
        <f t="shared" si="26"/>
        <v>OK</v>
      </c>
      <c r="S134" s="95" t="str">
        <f t="shared" si="26"/>
        <v>OK</v>
      </c>
    </row>
    <row r="135" spans="1:19" ht="12.75" outlineLevel="2">
      <c r="A135" s="89" t="s">
        <v>241</v>
      </c>
      <c r="B135" s="89"/>
      <c r="C135" s="89"/>
      <c r="D135" s="89"/>
      <c r="E135" s="100" t="s">
        <v>242</v>
      </c>
      <c r="F135" s="91"/>
      <c r="G135" s="92"/>
      <c r="H135" s="92"/>
      <c r="I135" s="93"/>
      <c r="J135" s="94" t="str">
        <f aca="true" t="shared" si="27" ref="J135:S135">IF(J79&gt;=J81,"OK","BŁĄD")</f>
        <v>OK</v>
      </c>
      <c r="K135" s="95" t="str">
        <f t="shared" si="27"/>
        <v>OK</v>
      </c>
      <c r="L135" s="95" t="str">
        <f t="shared" si="27"/>
        <v>OK</v>
      </c>
      <c r="M135" s="95" t="str">
        <f t="shared" si="27"/>
        <v>OK</v>
      </c>
      <c r="N135" s="95" t="str">
        <f t="shared" si="27"/>
        <v>OK</v>
      </c>
      <c r="O135" s="95" t="str">
        <f t="shared" si="27"/>
        <v>OK</v>
      </c>
      <c r="P135" s="95" t="str">
        <f t="shared" si="27"/>
        <v>OK</v>
      </c>
      <c r="Q135" s="95" t="str">
        <f t="shared" si="27"/>
        <v>OK</v>
      </c>
      <c r="R135" s="95" t="str">
        <f t="shared" si="27"/>
        <v>OK</v>
      </c>
      <c r="S135" s="95" t="str">
        <f t="shared" si="27"/>
        <v>OK</v>
      </c>
    </row>
    <row r="136" spans="1:19" ht="12.75" outlineLevel="2">
      <c r="A136" s="89" t="s">
        <v>243</v>
      </c>
      <c r="B136" s="89"/>
      <c r="C136" s="89"/>
      <c r="D136" s="89"/>
      <c r="E136" s="100" t="s">
        <v>244</v>
      </c>
      <c r="F136" s="91"/>
      <c r="G136" s="92"/>
      <c r="H136" s="92"/>
      <c r="I136" s="93"/>
      <c r="J136" s="94" t="str">
        <f aca="true" t="shared" si="28" ref="J136:S136">IF(J83&gt;=J85,"OK","BŁĄD")</f>
        <v>OK</v>
      </c>
      <c r="K136" s="95" t="str">
        <f t="shared" si="28"/>
        <v>OK</v>
      </c>
      <c r="L136" s="95" t="str">
        <f t="shared" si="28"/>
        <v>OK</v>
      </c>
      <c r="M136" s="95" t="str">
        <f t="shared" si="28"/>
        <v>OK</v>
      </c>
      <c r="N136" s="95" t="str">
        <f t="shared" si="28"/>
        <v>OK</v>
      </c>
      <c r="O136" s="95" t="str">
        <f t="shared" si="28"/>
        <v>OK</v>
      </c>
      <c r="P136" s="95" t="str">
        <f t="shared" si="28"/>
        <v>OK</v>
      </c>
      <c r="Q136" s="95" t="str">
        <f t="shared" si="28"/>
        <v>OK</v>
      </c>
      <c r="R136" s="95" t="str">
        <f t="shared" si="28"/>
        <v>OK</v>
      </c>
      <c r="S136" s="95" t="str">
        <f t="shared" si="28"/>
        <v>OK</v>
      </c>
    </row>
    <row r="137" spans="1:19" ht="12.75" outlineLevel="2">
      <c r="A137" s="89" t="s">
        <v>245</v>
      </c>
      <c r="B137" s="89"/>
      <c r="C137" s="89"/>
      <c r="D137" s="89"/>
      <c r="E137" s="100" t="s">
        <v>246</v>
      </c>
      <c r="F137" s="91"/>
      <c r="G137" s="92"/>
      <c r="H137" s="92"/>
      <c r="I137" s="93"/>
      <c r="J137" s="94" t="str">
        <f aca="true" t="shared" si="29" ref="J137:S137">IF(J86&gt;=J18,"OK","BŁĄD")</f>
        <v>OK</v>
      </c>
      <c r="K137" s="95" t="str">
        <f t="shared" si="29"/>
        <v>OK</v>
      </c>
      <c r="L137" s="95" t="str">
        <f t="shared" si="29"/>
        <v>OK</v>
      </c>
      <c r="M137" s="95" t="str">
        <f t="shared" si="29"/>
        <v>OK</v>
      </c>
      <c r="N137" s="95" t="str">
        <f t="shared" si="29"/>
        <v>OK</v>
      </c>
      <c r="O137" s="95" t="str">
        <f t="shared" si="29"/>
        <v>OK</v>
      </c>
      <c r="P137" s="95" t="str">
        <f t="shared" si="29"/>
        <v>OK</v>
      </c>
      <c r="Q137" s="95" t="str">
        <f t="shared" si="29"/>
        <v>OK</v>
      </c>
      <c r="R137" s="95" t="str">
        <f t="shared" si="29"/>
        <v>OK</v>
      </c>
      <c r="S137" s="95" t="str">
        <f t="shared" si="29"/>
        <v>OK</v>
      </c>
    </row>
    <row r="138" spans="1:19" ht="12.75" outlineLevel="2">
      <c r="A138" s="89" t="s">
        <v>247</v>
      </c>
      <c r="B138" s="89"/>
      <c r="C138" s="89"/>
      <c r="D138" s="89"/>
      <c r="E138" s="100" t="s">
        <v>248</v>
      </c>
      <c r="F138" s="91"/>
      <c r="G138" s="92"/>
      <c r="H138" s="92"/>
      <c r="I138" s="93"/>
      <c r="J138" s="94" t="str">
        <f aca="true" t="shared" si="30" ref="J138:S138">IF(J93&gt;=(J94+J95+J96),"OK","BŁĄD")</f>
        <v>OK</v>
      </c>
      <c r="K138" s="95" t="str">
        <f t="shared" si="30"/>
        <v>OK</v>
      </c>
      <c r="L138" s="95" t="str">
        <f t="shared" si="30"/>
        <v>OK</v>
      </c>
      <c r="M138" s="95" t="str">
        <f t="shared" si="30"/>
        <v>OK</v>
      </c>
      <c r="N138" s="95" t="str">
        <f t="shared" si="30"/>
        <v>OK</v>
      </c>
      <c r="O138" s="95" t="str">
        <f t="shared" si="30"/>
        <v>OK</v>
      </c>
      <c r="P138" s="95" t="str">
        <f t="shared" si="30"/>
        <v>OK</v>
      </c>
      <c r="Q138" s="95" t="str">
        <f t="shared" si="30"/>
        <v>OK</v>
      </c>
      <c r="R138" s="95" t="str">
        <f t="shared" si="30"/>
        <v>OK</v>
      </c>
      <c r="S138" s="95" t="str">
        <f t="shared" si="30"/>
        <v>OK</v>
      </c>
    </row>
    <row r="139" spans="1:19" ht="12.75" outlineLevel="2">
      <c r="A139" s="89" t="s">
        <v>249</v>
      </c>
      <c r="B139" s="89"/>
      <c r="C139" s="89"/>
      <c r="D139" s="89"/>
      <c r="E139" s="100" t="s">
        <v>250</v>
      </c>
      <c r="F139" s="91"/>
      <c r="G139" s="92"/>
      <c r="H139" s="92"/>
      <c r="I139" s="93"/>
      <c r="J139" s="94" t="str">
        <f aca="true" t="shared" si="31" ref="J139:S139">IF(J16&gt;=J17,"OK","BŁĄD")</f>
        <v>OK</v>
      </c>
      <c r="K139" s="95" t="str">
        <f t="shared" si="31"/>
        <v>OK</v>
      </c>
      <c r="L139" s="95" t="str">
        <f t="shared" si="31"/>
        <v>OK</v>
      </c>
      <c r="M139" s="95" t="str">
        <f t="shared" si="31"/>
        <v>OK</v>
      </c>
      <c r="N139" s="95" t="str">
        <f t="shared" si="31"/>
        <v>OK</v>
      </c>
      <c r="O139" s="95" t="str">
        <f t="shared" si="31"/>
        <v>OK</v>
      </c>
      <c r="P139" s="95" t="str">
        <f t="shared" si="31"/>
        <v>OK</v>
      </c>
      <c r="Q139" s="95" t="str">
        <f t="shared" si="31"/>
        <v>OK</v>
      </c>
      <c r="R139" s="95" t="str">
        <f t="shared" si="31"/>
        <v>OK</v>
      </c>
      <c r="S139" s="95" t="str">
        <f t="shared" si="31"/>
        <v>OK</v>
      </c>
    </row>
    <row r="140" spans="1:19" ht="12.75" outlineLevel="2">
      <c r="A140" s="89" t="s">
        <v>251</v>
      </c>
      <c r="B140" s="89"/>
      <c r="C140" s="89"/>
      <c r="D140" s="89"/>
      <c r="E140" s="100" t="s">
        <v>252</v>
      </c>
      <c r="F140" s="91"/>
      <c r="G140" s="92"/>
      <c r="H140" s="92"/>
      <c r="I140" s="93"/>
      <c r="J140" s="94" t="str">
        <f aca="true" t="shared" si="32" ref="J140:S140">IF(J16&gt;=J96,"OK","BŁĄD")</f>
        <v>OK</v>
      </c>
      <c r="K140" s="95" t="str">
        <f t="shared" si="32"/>
        <v>OK</v>
      </c>
      <c r="L140" s="95" t="str">
        <f t="shared" si="32"/>
        <v>OK</v>
      </c>
      <c r="M140" s="95" t="str">
        <f t="shared" si="32"/>
        <v>OK</v>
      </c>
      <c r="N140" s="95" t="str">
        <f t="shared" si="32"/>
        <v>OK</v>
      </c>
      <c r="O140" s="95" t="str">
        <f t="shared" si="32"/>
        <v>OK</v>
      </c>
      <c r="P140" s="95" t="str">
        <f t="shared" si="32"/>
        <v>OK</v>
      </c>
      <c r="Q140" s="95" t="str">
        <f t="shared" si="32"/>
        <v>OK</v>
      </c>
      <c r="R140" s="95" t="str">
        <f t="shared" si="32"/>
        <v>OK</v>
      </c>
      <c r="S140" s="95" t="str">
        <f t="shared" si="32"/>
        <v>OK</v>
      </c>
    </row>
    <row r="141" spans="1:19" ht="12.75" outlineLevel="2">
      <c r="A141" s="89" t="s">
        <v>253</v>
      </c>
      <c r="B141" s="89"/>
      <c r="C141" s="89"/>
      <c r="D141" s="89"/>
      <c r="E141" s="100" t="s">
        <v>254</v>
      </c>
      <c r="F141" s="91"/>
      <c r="G141" s="92"/>
      <c r="H141" s="92"/>
      <c r="I141" s="93"/>
      <c r="J141" s="94" t="str">
        <f aca="true" t="shared" si="33" ref="J141:S141">IF(J19&gt;=J20,"OK","BŁĄD")</f>
        <v>OK</v>
      </c>
      <c r="K141" s="95" t="str">
        <f t="shared" si="33"/>
        <v>OK</v>
      </c>
      <c r="L141" s="95" t="str">
        <f t="shared" si="33"/>
        <v>OK</v>
      </c>
      <c r="M141" s="95" t="str">
        <f t="shared" si="33"/>
        <v>OK</v>
      </c>
      <c r="N141" s="95" t="str">
        <f t="shared" si="33"/>
        <v>OK</v>
      </c>
      <c r="O141" s="95" t="str">
        <f t="shared" si="33"/>
        <v>OK</v>
      </c>
      <c r="P141" s="95" t="str">
        <f t="shared" si="33"/>
        <v>OK</v>
      </c>
      <c r="Q141" s="95" t="str">
        <f t="shared" si="33"/>
        <v>OK</v>
      </c>
      <c r="R141" s="95" t="str">
        <f t="shared" si="33"/>
        <v>OK</v>
      </c>
      <c r="S141" s="95" t="str">
        <f t="shared" si="33"/>
        <v>OK</v>
      </c>
    </row>
    <row r="142" spans="1:19" ht="12.75" outlineLevel="2">
      <c r="A142" s="89" t="s">
        <v>255</v>
      </c>
      <c r="B142" s="89"/>
      <c r="C142" s="89"/>
      <c r="D142" s="89"/>
      <c r="E142" s="100" t="s">
        <v>256</v>
      </c>
      <c r="F142" s="91"/>
      <c r="G142" s="92"/>
      <c r="H142" s="92"/>
      <c r="I142" s="93"/>
      <c r="J142" s="94" t="str">
        <f aca="true" t="shared" si="34" ref="J142:S142">IF(J15&gt;=(J16+J18+J19),"OK","BŁĄD")</f>
        <v>OK</v>
      </c>
      <c r="K142" s="95" t="str">
        <f t="shared" si="34"/>
        <v>OK</v>
      </c>
      <c r="L142" s="95" t="str">
        <f t="shared" si="34"/>
        <v>OK</v>
      </c>
      <c r="M142" s="95" t="str">
        <f t="shared" si="34"/>
        <v>OK</v>
      </c>
      <c r="N142" s="95" t="str">
        <f t="shared" si="34"/>
        <v>OK</v>
      </c>
      <c r="O142" s="95" t="str">
        <f t="shared" si="34"/>
        <v>OK</v>
      </c>
      <c r="P142" s="95" t="str">
        <f t="shared" si="34"/>
        <v>OK</v>
      </c>
      <c r="Q142" s="95" t="str">
        <f t="shared" si="34"/>
        <v>OK</v>
      </c>
      <c r="R142" s="95" t="str">
        <f t="shared" si="34"/>
        <v>OK</v>
      </c>
      <c r="S142" s="95" t="str">
        <f t="shared" si="34"/>
        <v>OK</v>
      </c>
    </row>
    <row r="143" spans="1:19" ht="12.75" outlineLevel="2">
      <c r="A143" s="89" t="s">
        <v>257</v>
      </c>
      <c r="B143" s="89"/>
      <c r="C143" s="89"/>
      <c r="D143" s="89"/>
      <c r="E143" s="100" t="s">
        <v>258</v>
      </c>
      <c r="F143" s="91"/>
      <c r="G143" s="92"/>
      <c r="H143" s="92"/>
      <c r="I143" s="93"/>
      <c r="J143" s="94" t="str">
        <f aca="true" t="shared" si="35" ref="J143:S143">IF(J15&gt;=J61,"OK","BŁĄD")</f>
        <v>OK</v>
      </c>
      <c r="K143" s="95" t="str">
        <f t="shared" si="35"/>
        <v>OK</v>
      </c>
      <c r="L143" s="95" t="str">
        <f t="shared" si="35"/>
        <v>OK</v>
      </c>
      <c r="M143" s="95" t="str">
        <f t="shared" si="35"/>
        <v>OK</v>
      </c>
      <c r="N143" s="95" t="str">
        <f t="shared" si="35"/>
        <v>OK</v>
      </c>
      <c r="O143" s="95" t="str">
        <f t="shared" si="35"/>
        <v>OK</v>
      </c>
      <c r="P143" s="95" t="str">
        <f t="shared" si="35"/>
        <v>OK</v>
      </c>
      <c r="Q143" s="95" t="str">
        <f t="shared" si="35"/>
        <v>OK</v>
      </c>
      <c r="R143" s="95" t="str">
        <f t="shared" si="35"/>
        <v>OK</v>
      </c>
      <c r="S143" s="95" t="str">
        <f t="shared" si="35"/>
        <v>OK</v>
      </c>
    </row>
    <row r="144" spans="1:19" ht="12.75" outlineLevel="2">
      <c r="A144" s="89" t="s">
        <v>259</v>
      </c>
      <c r="B144" s="89"/>
      <c r="C144" s="89"/>
      <c r="D144" s="89"/>
      <c r="E144" s="100" t="s">
        <v>260</v>
      </c>
      <c r="F144" s="91"/>
      <c r="G144" s="92"/>
      <c r="H144" s="92"/>
      <c r="I144" s="93"/>
      <c r="J144" s="94" t="str">
        <f aca="true" t="shared" si="36" ref="J144:S144">IF(J15&gt;=J64,"OK","BŁĄD")</f>
        <v>OK</v>
      </c>
      <c r="K144" s="95" t="str">
        <f t="shared" si="36"/>
        <v>OK</v>
      </c>
      <c r="L144" s="95" t="str">
        <f t="shared" si="36"/>
        <v>OK</v>
      </c>
      <c r="M144" s="95" t="str">
        <f t="shared" si="36"/>
        <v>OK</v>
      </c>
      <c r="N144" s="95" t="str">
        <f t="shared" si="36"/>
        <v>OK</v>
      </c>
      <c r="O144" s="95" t="str">
        <f t="shared" si="36"/>
        <v>OK</v>
      </c>
      <c r="P144" s="95" t="str">
        <f t="shared" si="36"/>
        <v>OK</v>
      </c>
      <c r="Q144" s="95" t="str">
        <f t="shared" si="36"/>
        <v>OK</v>
      </c>
      <c r="R144" s="95" t="str">
        <f t="shared" si="36"/>
        <v>OK</v>
      </c>
      <c r="S144" s="95" t="str">
        <f t="shared" si="36"/>
        <v>OK</v>
      </c>
    </row>
    <row r="145" spans="1:19" ht="12.75" outlineLevel="2">
      <c r="A145" s="89" t="s">
        <v>261</v>
      </c>
      <c r="B145" s="89"/>
      <c r="C145" s="89"/>
      <c r="D145" s="89"/>
      <c r="E145" s="100" t="s">
        <v>262</v>
      </c>
      <c r="F145" s="91"/>
      <c r="G145" s="92"/>
      <c r="H145" s="92"/>
      <c r="I145" s="93"/>
      <c r="J145" s="94" t="str">
        <f aca="true" t="shared" si="37" ref="J145:S145">IF(J15&gt;=J76,"OK","BŁĄD")</f>
        <v>OK</v>
      </c>
      <c r="K145" s="95" t="str">
        <f t="shared" si="37"/>
        <v>OK</v>
      </c>
      <c r="L145" s="95" t="str">
        <f t="shared" si="37"/>
        <v>OK</v>
      </c>
      <c r="M145" s="95" t="str">
        <f t="shared" si="37"/>
        <v>OK</v>
      </c>
      <c r="N145" s="95" t="str">
        <f t="shared" si="37"/>
        <v>OK</v>
      </c>
      <c r="O145" s="95" t="str">
        <f t="shared" si="37"/>
        <v>OK</v>
      </c>
      <c r="P145" s="95" t="str">
        <f t="shared" si="37"/>
        <v>OK</v>
      </c>
      <c r="Q145" s="95" t="str">
        <f t="shared" si="37"/>
        <v>OK</v>
      </c>
      <c r="R145" s="95" t="str">
        <f t="shared" si="37"/>
        <v>OK</v>
      </c>
      <c r="S145" s="95" t="str">
        <f t="shared" si="37"/>
        <v>OK</v>
      </c>
    </row>
    <row r="146" spans="1:19" ht="12.75" outlineLevel="2">
      <c r="A146" s="89" t="s">
        <v>263</v>
      </c>
      <c r="B146" s="89"/>
      <c r="C146" s="89"/>
      <c r="D146" s="89"/>
      <c r="E146" s="100" t="s">
        <v>264</v>
      </c>
      <c r="F146" s="91"/>
      <c r="G146" s="92"/>
      <c r="H146" s="92"/>
      <c r="I146" s="93"/>
      <c r="J146" s="94" t="str">
        <f aca="true" t="shared" si="38" ref="J146:S146">IF(J15&gt;=J89,"OK","BŁĄD")</f>
        <v>OK</v>
      </c>
      <c r="K146" s="95" t="str">
        <f t="shared" si="38"/>
        <v>OK</v>
      </c>
      <c r="L146" s="95" t="str">
        <f t="shared" si="38"/>
        <v>OK</v>
      </c>
      <c r="M146" s="95" t="str">
        <f t="shared" si="38"/>
        <v>OK</v>
      </c>
      <c r="N146" s="95" t="str">
        <f t="shared" si="38"/>
        <v>OK</v>
      </c>
      <c r="O146" s="95" t="str">
        <f t="shared" si="38"/>
        <v>OK</v>
      </c>
      <c r="P146" s="95" t="str">
        <f t="shared" si="38"/>
        <v>OK</v>
      </c>
      <c r="Q146" s="95" t="str">
        <f t="shared" si="38"/>
        <v>OK</v>
      </c>
      <c r="R146" s="95" t="str">
        <f t="shared" si="38"/>
        <v>OK</v>
      </c>
      <c r="S146" s="95" t="str">
        <f t="shared" si="38"/>
        <v>OK</v>
      </c>
    </row>
    <row r="147" spans="1:19" ht="12.75" outlineLevel="2">
      <c r="A147" s="89" t="s">
        <v>265</v>
      </c>
      <c r="B147" s="89"/>
      <c r="C147" s="89"/>
      <c r="D147" s="89"/>
      <c r="E147" s="100" t="s">
        <v>266</v>
      </c>
      <c r="F147" s="91"/>
      <c r="G147" s="92"/>
      <c r="H147" s="92"/>
      <c r="I147" s="93"/>
      <c r="J147" s="94" t="str">
        <f aca="true" t="shared" si="39" ref="J147:S147">IF(J21&gt;=J65,"OK","BŁĄD")</f>
        <v>OK</v>
      </c>
      <c r="K147" s="95" t="str">
        <f t="shared" si="39"/>
        <v>OK</v>
      </c>
      <c r="L147" s="95" t="str">
        <f t="shared" si="39"/>
        <v>OK</v>
      </c>
      <c r="M147" s="95" t="str">
        <f t="shared" si="39"/>
        <v>OK</v>
      </c>
      <c r="N147" s="95" t="str">
        <f t="shared" si="39"/>
        <v>OK</v>
      </c>
      <c r="O147" s="95" t="str">
        <f t="shared" si="39"/>
        <v>OK</v>
      </c>
      <c r="P147" s="95" t="str">
        <f t="shared" si="39"/>
        <v>OK</v>
      </c>
      <c r="Q147" s="95" t="str">
        <f t="shared" si="39"/>
        <v>OK</v>
      </c>
      <c r="R147" s="95" t="str">
        <f t="shared" si="39"/>
        <v>OK</v>
      </c>
      <c r="S147" s="95" t="str">
        <f t="shared" si="39"/>
        <v>OK</v>
      </c>
    </row>
    <row r="148" spans="1:19" ht="12.75" outlineLevel="2">
      <c r="A148" s="89" t="s">
        <v>267</v>
      </c>
      <c r="B148" s="89"/>
      <c r="C148" s="89"/>
      <c r="D148" s="89"/>
      <c r="E148" s="100" t="s">
        <v>268</v>
      </c>
      <c r="F148" s="91"/>
      <c r="G148" s="92"/>
      <c r="H148" s="92"/>
      <c r="I148" s="93"/>
      <c r="J148" s="94" t="str">
        <f aca="true" t="shared" si="40" ref="J148:S148">IF(J21&gt;=J66+J67,"OK","BŁĄD")</f>
        <v>OK</v>
      </c>
      <c r="K148" s="95" t="str">
        <f t="shared" si="40"/>
        <v>OK</v>
      </c>
      <c r="L148" s="95" t="str">
        <f t="shared" si="40"/>
        <v>OK</v>
      </c>
      <c r="M148" s="95" t="str">
        <f t="shared" si="40"/>
        <v>OK</v>
      </c>
      <c r="N148" s="95" t="str">
        <f t="shared" si="40"/>
        <v>OK</v>
      </c>
      <c r="O148" s="95" t="str">
        <f t="shared" si="40"/>
        <v>OK</v>
      </c>
      <c r="P148" s="95" t="str">
        <f t="shared" si="40"/>
        <v>OK</v>
      </c>
      <c r="Q148" s="95" t="str">
        <f t="shared" si="40"/>
        <v>OK</v>
      </c>
      <c r="R148" s="95" t="str">
        <f t="shared" si="40"/>
        <v>OK</v>
      </c>
      <c r="S148" s="95" t="str">
        <f t="shared" si="40"/>
        <v>OK</v>
      </c>
    </row>
    <row r="149" spans="1:19" ht="12.75" outlineLevel="2">
      <c r="A149" s="89" t="s">
        <v>269</v>
      </c>
      <c r="B149" s="89"/>
      <c r="C149" s="89"/>
      <c r="D149" s="89"/>
      <c r="E149" s="100" t="s">
        <v>270</v>
      </c>
      <c r="F149" s="91"/>
      <c r="G149" s="92"/>
      <c r="H149" s="92"/>
      <c r="I149" s="93"/>
      <c r="J149" s="94" t="str">
        <f aca="true" t="shared" si="41" ref="J149:S149">IF(J21&gt;=J68,"OK","BŁĄD")</f>
        <v>OK</v>
      </c>
      <c r="K149" s="95" t="str">
        <f t="shared" si="41"/>
        <v>OK</v>
      </c>
      <c r="L149" s="95" t="str">
        <f t="shared" si="41"/>
        <v>OK</v>
      </c>
      <c r="M149" s="95" t="str">
        <f t="shared" si="41"/>
        <v>OK</v>
      </c>
      <c r="N149" s="95" t="str">
        <f t="shared" si="41"/>
        <v>OK</v>
      </c>
      <c r="O149" s="95" t="str">
        <f t="shared" si="41"/>
        <v>OK</v>
      </c>
      <c r="P149" s="95" t="str">
        <f t="shared" si="41"/>
        <v>OK</v>
      </c>
      <c r="Q149" s="95" t="str">
        <f t="shared" si="41"/>
        <v>OK</v>
      </c>
      <c r="R149" s="95" t="str">
        <f t="shared" si="41"/>
        <v>OK</v>
      </c>
      <c r="S149" s="95" t="str">
        <f t="shared" si="41"/>
        <v>OK</v>
      </c>
    </row>
    <row r="150" spans="1:19" ht="12.75" outlineLevel="2">
      <c r="A150" s="89" t="s">
        <v>271</v>
      </c>
      <c r="B150" s="89"/>
      <c r="C150" s="89"/>
      <c r="D150" s="89"/>
      <c r="E150" s="100" t="s">
        <v>272</v>
      </c>
      <c r="F150" s="91"/>
      <c r="G150" s="92"/>
      <c r="H150" s="92"/>
      <c r="I150" s="93"/>
      <c r="J150" s="94" t="str">
        <f aca="true" t="shared" si="42" ref="J150:S150">IF(J21&gt;=J79,"OK","BŁĄD")</f>
        <v>OK</v>
      </c>
      <c r="K150" s="95" t="str">
        <f t="shared" si="42"/>
        <v>OK</v>
      </c>
      <c r="L150" s="95" t="str">
        <f t="shared" si="42"/>
        <v>OK</v>
      </c>
      <c r="M150" s="95" t="str">
        <f t="shared" si="42"/>
        <v>OK</v>
      </c>
      <c r="N150" s="95" t="str">
        <f t="shared" si="42"/>
        <v>OK</v>
      </c>
      <c r="O150" s="95" t="str">
        <f t="shared" si="42"/>
        <v>OK</v>
      </c>
      <c r="P150" s="95" t="str">
        <f t="shared" si="42"/>
        <v>OK</v>
      </c>
      <c r="Q150" s="95" t="str">
        <f t="shared" si="42"/>
        <v>OK</v>
      </c>
      <c r="R150" s="95" t="str">
        <f t="shared" si="42"/>
        <v>OK</v>
      </c>
      <c r="S150" s="95" t="str">
        <f t="shared" si="42"/>
        <v>OK</v>
      </c>
    </row>
    <row r="151" spans="1:19" ht="12.75" outlineLevel="2">
      <c r="A151" s="89" t="s">
        <v>273</v>
      </c>
      <c r="B151" s="89"/>
      <c r="C151" s="89"/>
      <c r="D151" s="89"/>
      <c r="E151" s="100" t="s">
        <v>274</v>
      </c>
      <c r="F151" s="91"/>
      <c r="G151" s="92"/>
      <c r="H151" s="92"/>
      <c r="I151" s="93"/>
      <c r="J151" s="94" t="str">
        <f aca="true" t="shared" si="43" ref="J151:S151">IF(J24&gt;=J25,"OK","BŁĄD")</f>
        <v>OK</v>
      </c>
      <c r="K151" s="95" t="str">
        <f t="shared" si="43"/>
        <v>OK</v>
      </c>
      <c r="L151" s="95" t="str">
        <f t="shared" si="43"/>
        <v>OK</v>
      </c>
      <c r="M151" s="95" t="str">
        <f t="shared" si="43"/>
        <v>OK</v>
      </c>
      <c r="N151" s="95" t="str">
        <f t="shared" si="43"/>
        <v>OK</v>
      </c>
      <c r="O151" s="95" t="str">
        <f t="shared" si="43"/>
        <v>OK</v>
      </c>
      <c r="P151" s="95" t="str">
        <f t="shared" si="43"/>
        <v>OK</v>
      </c>
      <c r="Q151" s="95" t="str">
        <f t="shared" si="43"/>
        <v>OK</v>
      </c>
      <c r="R151" s="95" t="str">
        <f t="shared" si="43"/>
        <v>OK</v>
      </c>
      <c r="S151" s="95" t="str">
        <f t="shared" si="43"/>
        <v>OK</v>
      </c>
    </row>
    <row r="152" spans="1:19" ht="12.75" outlineLevel="2">
      <c r="A152" s="89" t="s">
        <v>275</v>
      </c>
      <c r="B152" s="89"/>
      <c r="C152" s="89"/>
      <c r="D152" s="89"/>
      <c r="E152" s="100" t="s">
        <v>276</v>
      </c>
      <c r="F152" s="91"/>
      <c r="G152" s="92"/>
      <c r="H152" s="92"/>
      <c r="I152" s="93"/>
      <c r="J152" s="94" t="str">
        <f aca="true" t="shared" si="44" ref="J152:S152">IF(J26&gt;=J27,"OK","BŁĄD")</f>
        <v>OK</v>
      </c>
      <c r="K152" s="95" t="str">
        <f t="shared" si="44"/>
        <v>OK</v>
      </c>
      <c r="L152" s="95" t="str">
        <f t="shared" si="44"/>
        <v>OK</v>
      </c>
      <c r="M152" s="95" t="str">
        <f t="shared" si="44"/>
        <v>OK</v>
      </c>
      <c r="N152" s="95" t="str">
        <f t="shared" si="44"/>
        <v>OK</v>
      </c>
      <c r="O152" s="95" t="str">
        <f t="shared" si="44"/>
        <v>OK</v>
      </c>
      <c r="P152" s="95" t="str">
        <f t="shared" si="44"/>
        <v>OK</v>
      </c>
      <c r="Q152" s="95" t="str">
        <f t="shared" si="44"/>
        <v>OK</v>
      </c>
      <c r="R152" s="95" t="str">
        <f t="shared" si="44"/>
        <v>OK</v>
      </c>
      <c r="S152" s="95" t="str">
        <f t="shared" si="44"/>
        <v>OK</v>
      </c>
    </row>
    <row r="153" spans="1:19" ht="12.75" outlineLevel="2">
      <c r="A153" s="89" t="s">
        <v>277</v>
      </c>
      <c r="B153" s="89"/>
      <c r="C153" s="89"/>
      <c r="D153" s="89"/>
      <c r="E153" s="100" t="s">
        <v>278</v>
      </c>
      <c r="F153" s="91"/>
      <c r="G153" s="92"/>
      <c r="H153" s="92"/>
      <c r="I153" s="93"/>
      <c r="J153" s="94" t="str">
        <f aca="true" t="shared" si="45" ref="J153:S153">IF(J28&gt;=J29,"OK","BŁĄD")</f>
        <v>OK</v>
      </c>
      <c r="K153" s="95" t="str">
        <f t="shared" si="45"/>
        <v>OK</v>
      </c>
      <c r="L153" s="95" t="str">
        <f t="shared" si="45"/>
        <v>OK</v>
      </c>
      <c r="M153" s="95" t="str">
        <f t="shared" si="45"/>
        <v>OK</v>
      </c>
      <c r="N153" s="95" t="str">
        <f t="shared" si="45"/>
        <v>OK</v>
      </c>
      <c r="O153" s="95" t="str">
        <f t="shared" si="45"/>
        <v>OK</v>
      </c>
      <c r="P153" s="95" t="str">
        <f t="shared" si="45"/>
        <v>OK</v>
      </c>
      <c r="Q153" s="95" t="str">
        <f t="shared" si="45"/>
        <v>OK</v>
      </c>
      <c r="R153" s="95" t="str">
        <f t="shared" si="45"/>
        <v>OK</v>
      </c>
      <c r="S153" s="95" t="str">
        <f t="shared" si="45"/>
        <v>OK</v>
      </c>
    </row>
    <row r="154" spans="1:19" ht="12.75" outlineLevel="2">
      <c r="A154" s="89" t="s">
        <v>279</v>
      </c>
      <c r="B154" s="89"/>
      <c r="C154" s="89"/>
      <c r="D154" s="89"/>
      <c r="E154" s="100" t="s">
        <v>280</v>
      </c>
      <c r="F154" s="91"/>
      <c r="G154" s="92"/>
      <c r="H154" s="92"/>
      <c r="I154" s="93"/>
      <c r="J154" s="94" t="str">
        <f aca="true" t="shared" si="46" ref="J154:S154">IF(J30&gt;=J31,"OK","BŁĄD")</f>
        <v>OK</v>
      </c>
      <c r="K154" s="95" t="str">
        <f t="shared" si="46"/>
        <v>OK</v>
      </c>
      <c r="L154" s="95" t="str">
        <f t="shared" si="46"/>
        <v>OK</v>
      </c>
      <c r="M154" s="95" t="str">
        <f t="shared" si="46"/>
        <v>OK</v>
      </c>
      <c r="N154" s="95" t="str">
        <f t="shared" si="46"/>
        <v>OK</v>
      </c>
      <c r="O154" s="95" t="str">
        <f t="shared" si="46"/>
        <v>OK</v>
      </c>
      <c r="P154" s="95" t="str">
        <f t="shared" si="46"/>
        <v>OK</v>
      </c>
      <c r="Q154" s="95" t="str">
        <f t="shared" si="46"/>
        <v>OK</v>
      </c>
      <c r="R154" s="95" t="str">
        <f t="shared" si="46"/>
        <v>OK</v>
      </c>
      <c r="S154" s="95" t="str">
        <f t="shared" si="46"/>
        <v>OK</v>
      </c>
    </row>
    <row r="155" spans="1:19" ht="12.75" outlineLevel="2">
      <c r="A155" s="89" t="s">
        <v>281</v>
      </c>
      <c r="B155" s="89"/>
      <c r="C155" s="89"/>
      <c r="D155" s="89"/>
      <c r="E155" s="100" t="s">
        <v>282</v>
      </c>
      <c r="F155" s="91"/>
      <c r="G155" s="92"/>
      <c r="H155" s="92"/>
      <c r="I155" s="93"/>
      <c r="J155" s="94" t="str">
        <f aca="true" t="shared" si="47" ref="J155:S155">IF(J33&gt;=J34,"OK","BŁĄD")</f>
        <v>OK</v>
      </c>
      <c r="K155" s="95" t="str">
        <f t="shared" si="47"/>
        <v>OK</v>
      </c>
      <c r="L155" s="95" t="str">
        <f t="shared" si="47"/>
        <v>OK</v>
      </c>
      <c r="M155" s="95" t="str">
        <f t="shared" si="47"/>
        <v>OK</v>
      </c>
      <c r="N155" s="95" t="str">
        <f t="shared" si="47"/>
        <v>OK</v>
      </c>
      <c r="O155" s="95" t="str">
        <f t="shared" si="47"/>
        <v>OK</v>
      </c>
      <c r="P155" s="95" t="str">
        <f t="shared" si="47"/>
        <v>OK</v>
      </c>
      <c r="Q155" s="95" t="str">
        <f t="shared" si="47"/>
        <v>OK</v>
      </c>
      <c r="R155" s="95" t="str">
        <f t="shared" si="47"/>
        <v>OK</v>
      </c>
      <c r="S155" s="95" t="str">
        <f t="shared" si="47"/>
        <v>OK</v>
      </c>
    </row>
    <row r="156" spans="1:19" ht="12.75" outlineLevel="2">
      <c r="A156" s="89" t="s">
        <v>283</v>
      </c>
      <c r="B156" s="89"/>
      <c r="C156" s="89"/>
      <c r="D156" s="89"/>
      <c r="E156" s="100" t="s">
        <v>284</v>
      </c>
      <c r="F156" s="91"/>
      <c r="G156" s="92"/>
      <c r="H156" s="92"/>
      <c r="I156" s="93"/>
      <c r="J156" s="94" t="str">
        <f aca="true" t="shared" si="48" ref="J156:S156">IF(J34&gt;=J35,"OK","BŁĄD")</f>
        <v>OK</v>
      </c>
      <c r="K156" s="95" t="str">
        <f t="shared" si="48"/>
        <v>OK</v>
      </c>
      <c r="L156" s="95" t="str">
        <f t="shared" si="48"/>
        <v>OK</v>
      </c>
      <c r="M156" s="95" t="str">
        <f t="shared" si="48"/>
        <v>OK</v>
      </c>
      <c r="N156" s="95" t="str">
        <f t="shared" si="48"/>
        <v>OK</v>
      </c>
      <c r="O156" s="95" t="str">
        <f t="shared" si="48"/>
        <v>OK</v>
      </c>
      <c r="P156" s="95" t="str">
        <f t="shared" si="48"/>
        <v>OK</v>
      </c>
      <c r="Q156" s="95" t="str">
        <f t="shared" si="48"/>
        <v>OK</v>
      </c>
      <c r="R156" s="95" t="str">
        <f t="shared" si="48"/>
        <v>OK</v>
      </c>
      <c r="S156" s="95" t="str">
        <f t="shared" si="48"/>
        <v>OK</v>
      </c>
    </row>
    <row r="157" spans="1:19" ht="12.75" outlineLevel="2">
      <c r="A157" s="89" t="s">
        <v>285</v>
      </c>
      <c r="B157" s="89"/>
      <c r="C157" s="89"/>
      <c r="D157" s="89"/>
      <c r="E157" s="100" t="s">
        <v>286</v>
      </c>
      <c r="F157" s="91"/>
      <c r="G157" s="92"/>
      <c r="H157" s="92"/>
      <c r="I157" s="93"/>
      <c r="J157" s="94" t="str">
        <f aca="true" t="shared" si="49" ref="J157:S157">IF(J33&gt;=J59,"OK","BŁĄD")</f>
        <v>OK</v>
      </c>
      <c r="K157" s="95" t="str">
        <f t="shared" si="49"/>
        <v>OK</v>
      </c>
      <c r="L157" s="95" t="str">
        <f t="shared" si="49"/>
        <v>OK</v>
      </c>
      <c r="M157" s="95" t="str">
        <f t="shared" si="49"/>
        <v>OK</v>
      </c>
      <c r="N157" s="95" t="str">
        <f t="shared" si="49"/>
        <v>OK</v>
      </c>
      <c r="O157" s="95" t="str">
        <f t="shared" si="49"/>
        <v>OK</v>
      </c>
      <c r="P157" s="95" t="str">
        <f t="shared" si="49"/>
        <v>OK</v>
      </c>
      <c r="Q157" s="95" t="str">
        <f t="shared" si="49"/>
        <v>OK</v>
      </c>
      <c r="R157" s="95" t="str">
        <f t="shared" si="49"/>
        <v>OK</v>
      </c>
      <c r="S157" s="95" t="str">
        <f t="shared" si="49"/>
        <v>OK</v>
      </c>
    </row>
    <row r="158" spans="1:19" ht="12.75" outlineLevel="2">
      <c r="A158" s="89" t="s">
        <v>287</v>
      </c>
      <c r="B158" s="89"/>
      <c r="C158" s="89"/>
      <c r="D158" s="89"/>
      <c r="E158" s="100" t="s">
        <v>288</v>
      </c>
      <c r="F158" s="91"/>
      <c r="G158" s="92"/>
      <c r="H158" s="92"/>
      <c r="I158" s="93"/>
      <c r="J158" s="94" t="str">
        <f aca="true" t="shared" si="50" ref="J158:S158">IF(J33&gt;=J91,"OK","BŁĄD")</f>
        <v>OK</v>
      </c>
      <c r="K158" s="95" t="str">
        <f t="shared" si="50"/>
        <v>OK</v>
      </c>
      <c r="L158" s="95" t="str">
        <f t="shared" si="50"/>
        <v>OK</v>
      </c>
      <c r="M158" s="95" t="str">
        <f t="shared" si="50"/>
        <v>OK</v>
      </c>
      <c r="N158" s="95" t="str">
        <f t="shared" si="50"/>
        <v>OK</v>
      </c>
      <c r="O158" s="95" t="str">
        <f t="shared" si="50"/>
        <v>OK</v>
      </c>
      <c r="P158" s="95" t="str">
        <f t="shared" si="50"/>
        <v>OK</v>
      </c>
      <c r="Q158" s="95" t="str">
        <f t="shared" si="50"/>
        <v>OK</v>
      </c>
      <c r="R158" s="95" t="str">
        <f t="shared" si="50"/>
        <v>OK</v>
      </c>
      <c r="S158" s="95" t="str">
        <f t="shared" si="50"/>
        <v>OK</v>
      </c>
    </row>
    <row r="159" spans="1:19" ht="12.75" outlineLevel="2">
      <c r="A159" s="89" t="s">
        <v>289</v>
      </c>
      <c r="B159" s="89"/>
      <c r="C159" s="89"/>
      <c r="D159" s="89"/>
      <c r="E159" s="100" t="s">
        <v>290</v>
      </c>
      <c r="F159" s="91"/>
      <c r="G159" s="92"/>
      <c r="H159" s="92"/>
      <c r="I159" s="93"/>
      <c r="J159" s="94" t="str">
        <f aca="true" t="shared" si="51" ref="J159:S159">IF(J37&gt;=J38,"OK","BŁĄD")</f>
        <v>OK</v>
      </c>
      <c r="K159" s="95" t="str">
        <f t="shared" si="51"/>
        <v>OK</v>
      </c>
      <c r="L159" s="95" t="str">
        <f t="shared" si="51"/>
        <v>OK</v>
      </c>
      <c r="M159" s="95" t="str">
        <f t="shared" si="51"/>
        <v>OK</v>
      </c>
      <c r="N159" s="95" t="str">
        <f t="shared" si="51"/>
        <v>OK</v>
      </c>
      <c r="O159" s="95" t="str">
        <f t="shared" si="51"/>
        <v>OK</v>
      </c>
      <c r="P159" s="95" t="str">
        <f t="shared" si="51"/>
        <v>OK</v>
      </c>
      <c r="Q159" s="95" t="str">
        <f t="shared" si="51"/>
        <v>OK</v>
      </c>
      <c r="R159" s="95" t="str">
        <f t="shared" si="51"/>
        <v>OK</v>
      </c>
      <c r="S159" s="95" t="str">
        <f t="shared" si="51"/>
        <v>OK</v>
      </c>
    </row>
    <row r="160" spans="1:19" ht="12.75" outlineLevel="2">
      <c r="A160" s="89" t="s">
        <v>291</v>
      </c>
      <c r="B160" s="89"/>
      <c r="C160" s="89"/>
      <c r="D160" s="89"/>
      <c r="E160" s="100" t="s">
        <v>292</v>
      </c>
      <c r="F160" s="91"/>
      <c r="G160" s="92"/>
      <c r="H160" s="92"/>
      <c r="I160" s="93"/>
      <c r="J160" s="94" t="str">
        <f aca="true" t="shared" si="52" ref="J160:S160">IF(J37&gt;=J42,"OK","BŁĄD")</f>
        <v>OK</v>
      </c>
      <c r="K160" s="95" t="str">
        <f t="shared" si="52"/>
        <v>OK</v>
      </c>
      <c r="L160" s="95" t="str">
        <f t="shared" si="52"/>
        <v>OK</v>
      </c>
      <c r="M160" s="95" t="str">
        <f t="shared" si="52"/>
        <v>OK</v>
      </c>
      <c r="N160" s="95" t="str">
        <f t="shared" si="52"/>
        <v>OK</v>
      </c>
      <c r="O160" s="95" t="str">
        <f t="shared" si="52"/>
        <v>OK</v>
      </c>
      <c r="P160" s="95" t="str">
        <f t="shared" si="52"/>
        <v>OK</v>
      </c>
      <c r="Q160" s="95" t="str">
        <f t="shared" si="52"/>
        <v>OK</v>
      </c>
      <c r="R160" s="95" t="str">
        <f t="shared" si="52"/>
        <v>OK</v>
      </c>
      <c r="S160" s="95" t="str">
        <f t="shared" si="52"/>
        <v>OK</v>
      </c>
    </row>
    <row r="161" spans="1:19" ht="12.75" outlineLevel="2">
      <c r="A161" s="89" t="s">
        <v>293</v>
      </c>
      <c r="B161" s="89"/>
      <c r="C161" s="89"/>
      <c r="D161" s="89"/>
      <c r="E161" s="100" t="s">
        <v>294</v>
      </c>
      <c r="F161" s="91"/>
      <c r="G161" s="92"/>
      <c r="H161" s="92"/>
      <c r="I161" s="93"/>
      <c r="J161" s="94" t="str">
        <f aca="true" t="shared" si="53" ref="J161:S161">IF(J37&gt;=J92,"OK","BŁĄD")</f>
        <v>OK</v>
      </c>
      <c r="K161" s="95" t="str">
        <f t="shared" si="53"/>
        <v>OK</v>
      </c>
      <c r="L161" s="95" t="str">
        <f t="shared" si="53"/>
        <v>OK</v>
      </c>
      <c r="M161" s="95" t="str">
        <f t="shared" si="53"/>
        <v>OK</v>
      </c>
      <c r="N161" s="95" t="str">
        <f t="shared" si="53"/>
        <v>OK</v>
      </c>
      <c r="O161" s="95" t="str">
        <f t="shared" si="53"/>
        <v>OK</v>
      </c>
      <c r="P161" s="95" t="str">
        <f t="shared" si="53"/>
        <v>OK</v>
      </c>
      <c r="Q161" s="95" t="str">
        <f t="shared" si="53"/>
        <v>OK</v>
      </c>
      <c r="R161" s="95" t="str">
        <f t="shared" si="53"/>
        <v>OK</v>
      </c>
      <c r="S161" s="95" t="str">
        <f t="shared" si="53"/>
        <v>OK</v>
      </c>
    </row>
    <row r="162" spans="1:19" ht="12.75" outlineLevel="2">
      <c r="A162" s="89" t="s">
        <v>295</v>
      </c>
      <c r="B162" s="89"/>
      <c r="C162" s="89"/>
      <c r="D162" s="89"/>
      <c r="E162" s="100" t="s">
        <v>296</v>
      </c>
      <c r="F162" s="91"/>
      <c r="G162" s="92"/>
      <c r="H162" s="92"/>
      <c r="I162" s="93"/>
      <c r="J162" s="94" t="str">
        <f aca="true" t="shared" si="54" ref="J162:S162">+IF(J38&gt;=J39,"OK","BŁĄD")</f>
        <v>OK</v>
      </c>
      <c r="K162" s="95" t="str">
        <f t="shared" si="54"/>
        <v>OK</v>
      </c>
      <c r="L162" s="95" t="str">
        <f t="shared" si="54"/>
        <v>OK</v>
      </c>
      <c r="M162" s="95" t="str">
        <f t="shared" si="54"/>
        <v>OK</v>
      </c>
      <c r="N162" s="95" t="str">
        <f t="shared" si="54"/>
        <v>OK</v>
      </c>
      <c r="O162" s="95" t="str">
        <f t="shared" si="54"/>
        <v>OK</v>
      </c>
      <c r="P162" s="95" t="str">
        <f t="shared" si="54"/>
        <v>OK</v>
      </c>
      <c r="Q162" s="95" t="str">
        <f t="shared" si="54"/>
        <v>OK</v>
      </c>
      <c r="R162" s="95" t="str">
        <f t="shared" si="54"/>
        <v>OK</v>
      </c>
      <c r="S162" s="95" t="str">
        <f t="shared" si="54"/>
        <v>OK</v>
      </c>
    </row>
    <row r="163" spans="1:19" ht="12.75" outlineLevel="2">
      <c r="A163" s="89" t="s">
        <v>297</v>
      </c>
      <c r="B163" s="89"/>
      <c r="C163" s="89"/>
      <c r="D163" s="89"/>
      <c r="E163" s="100" t="s">
        <v>298</v>
      </c>
      <c r="F163" s="91"/>
      <c r="G163" s="92"/>
      <c r="H163" s="92"/>
      <c r="I163" s="93"/>
      <c r="J163" s="94" t="str">
        <f aca="true" t="shared" si="55" ref="J163:S163">IF(J42&gt;=J83,"OK","BŁĄD")</f>
        <v>OK</v>
      </c>
      <c r="K163" s="95" t="str">
        <f t="shared" si="55"/>
        <v>OK</v>
      </c>
      <c r="L163" s="95" t="str">
        <f t="shared" si="55"/>
        <v>OK</v>
      </c>
      <c r="M163" s="95" t="str">
        <f t="shared" si="55"/>
        <v>OK</v>
      </c>
      <c r="N163" s="95" t="str">
        <f t="shared" si="55"/>
        <v>OK</v>
      </c>
      <c r="O163" s="95" t="str">
        <f t="shared" si="55"/>
        <v>OK</v>
      </c>
      <c r="P163" s="95" t="str">
        <f t="shared" si="55"/>
        <v>OK</v>
      </c>
      <c r="Q163" s="95" t="str">
        <f t="shared" si="55"/>
        <v>OK</v>
      </c>
      <c r="R163" s="95" t="str">
        <f t="shared" si="55"/>
        <v>OK</v>
      </c>
      <c r="S163" s="95" t="str">
        <f t="shared" si="55"/>
        <v>OK</v>
      </c>
    </row>
    <row r="164" spans="1:19" ht="12.75" outlineLevel="2">
      <c r="A164" s="103" t="s">
        <v>299</v>
      </c>
      <c r="B164" s="103"/>
      <c r="C164" s="103"/>
      <c r="D164" s="103"/>
      <c r="E164" s="104" t="s">
        <v>300</v>
      </c>
      <c r="F164" s="105"/>
      <c r="G164" s="106"/>
      <c r="H164" s="106"/>
      <c r="I164" s="107"/>
      <c r="J164" s="108" t="str">
        <f aca="true" t="shared" si="56" ref="J164:S164">IF(J19&lt;&gt;0,IF(J20&lt;&gt;0,"OK","BŁĄD"),"N/D")</f>
        <v>OK</v>
      </c>
      <c r="K164" s="109" t="str">
        <f t="shared" si="56"/>
        <v>OK</v>
      </c>
      <c r="L164" s="109" t="str">
        <f t="shared" si="56"/>
        <v>OK</v>
      </c>
      <c r="M164" s="109" t="str">
        <f t="shared" si="56"/>
        <v>OK</v>
      </c>
      <c r="N164" s="109" t="str">
        <f t="shared" si="56"/>
        <v>OK</v>
      </c>
      <c r="O164" s="109" t="str">
        <f t="shared" si="56"/>
        <v>OK</v>
      </c>
      <c r="P164" s="109" t="str">
        <f t="shared" si="56"/>
        <v>OK</v>
      </c>
      <c r="Q164" s="109" t="str">
        <f t="shared" si="56"/>
        <v>OK</v>
      </c>
      <c r="R164" s="109" t="str">
        <f t="shared" si="56"/>
        <v>OK</v>
      </c>
      <c r="S164" s="109" t="str">
        <f t="shared" si="56"/>
        <v>OK</v>
      </c>
    </row>
    <row r="165" spans="1:19" ht="12.75" outlineLevel="2">
      <c r="A165" s="110"/>
      <c r="B165" s="110"/>
      <c r="C165" s="110"/>
      <c r="D165" s="110"/>
      <c r="E165" s="110"/>
      <c r="F165" s="111"/>
      <c r="G165" s="111"/>
      <c r="H165" s="111"/>
      <c r="I165" s="111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1:19" ht="12.75" outlineLevel="1">
      <c r="A166" s="110"/>
      <c r="B166" s="110"/>
      <c r="C166" s="110"/>
      <c r="D166" s="110"/>
      <c r="E166" s="81" t="s">
        <v>301</v>
      </c>
      <c r="F166" s="111"/>
      <c r="G166" s="111"/>
      <c r="H166" s="111"/>
      <c r="I166" s="111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1:20" ht="12.75" outlineLevel="2">
      <c r="A167" s="113"/>
      <c r="B167" s="113"/>
      <c r="C167" s="113"/>
      <c r="D167" s="113"/>
      <c r="E167" s="114" t="s">
        <v>302</v>
      </c>
      <c r="F167" s="115">
        <f aca="true" t="shared" si="57" ref="F167:S167">F4+F11</f>
        <v>31484876.009999998</v>
      </c>
      <c r="G167" s="116">
        <f t="shared" si="57"/>
        <v>31063442.330000002</v>
      </c>
      <c r="H167" s="116">
        <f t="shared" si="57"/>
        <v>35624119.93</v>
      </c>
      <c r="I167" s="117">
        <f t="shared" si="57"/>
        <v>34438420.27</v>
      </c>
      <c r="J167" s="118">
        <f t="shared" si="57"/>
        <v>31943451.220000003</v>
      </c>
      <c r="K167" s="119">
        <f t="shared" si="57"/>
        <v>30722594.71</v>
      </c>
      <c r="L167" s="119">
        <f t="shared" si="57"/>
        <v>31000000</v>
      </c>
      <c r="M167" s="119">
        <f t="shared" si="57"/>
        <v>31500000</v>
      </c>
      <c r="N167" s="119">
        <f t="shared" si="57"/>
        <v>32000000</v>
      </c>
      <c r="O167" s="119">
        <f t="shared" si="57"/>
        <v>32500000</v>
      </c>
      <c r="P167" s="119">
        <f t="shared" si="57"/>
        <v>33000000</v>
      </c>
      <c r="Q167" s="119">
        <f t="shared" si="57"/>
        <v>33500000</v>
      </c>
      <c r="R167" s="119">
        <f t="shared" si="57"/>
        <v>34000000</v>
      </c>
      <c r="S167" s="119">
        <f t="shared" si="57"/>
        <v>34500000</v>
      </c>
      <c r="T167" s="113"/>
    </row>
    <row r="168" spans="1:20" ht="12.75" outlineLevel="2">
      <c r="A168" s="113"/>
      <c r="B168" s="113"/>
      <c r="C168" s="113"/>
      <c r="D168" s="113"/>
      <c r="E168" s="120" t="s">
        <v>303</v>
      </c>
      <c r="F168" s="121">
        <f aca="true" t="shared" si="58" ref="F168:S168">F15+F21</f>
        <v>34609335.7</v>
      </c>
      <c r="G168" s="122">
        <f t="shared" si="58"/>
        <v>31037203.93</v>
      </c>
      <c r="H168" s="122">
        <f t="shared" si="58"/>
        <v>40495660.86</v>
      </c>
      <c r="I168" s="123">
        <f t="shared" si="58"/>
        <v>36384626.19</v>
      </c>
      <c r="J168" s="124">
        <f t="shared" si="58"/>
        <v>34550862.44</v>
      </c>
      <c r="K168" s="125">
        <f t="shared" si="58"/>
        <v>29422594.709999997</v>
      </c>
      <c r="L168" s="125">
        <f t="shared" si="58"/>
        <v>29150000</v>
      </c>
      <c r="M168" s="125">
        <f t="shared" si="58"/>
        <v>29500000</v>
      </c>
      <c r="N168" s="125">
        <f t="shared" si="58"/>
        <v>29800000</v>
      </c>
      <c r="O168" s="125">
        <f t="shared" si="58"/>
        <v>30400000</v>
      </c>
      <c r="P168" s="125">
        <f t="shared" si="58"/>
        <v>31000000</v>
      </c>
      <c r="Q168" s="125">
        <f t="shared" si="58"/>
        <v>31500000</v>
      </c>
      <c r="R168" s="125">
        <f t="shared" si="58"/>
        <v>33000000</v>
      </c>
      <c r="S168" s="125">
        <f t="shared" si="58"/>
        <v>33446631.84</v>
      </c>
      <c r="T168" s="113"/>
    </row>
    <row r="169" spans="1:20" ht="12.75" outlineLevel="2">
      <c r="A169" s="113"/>
      <c r="B169" s="113"/>
      <c r="C169" s="113"/>
      <c r="D169" s="113"/>
      <c r="E169" s="120" t="s">
        <v>304</v>
      </c>
      <c r="F169" s="121">
        <f aca="true" t="shared" si="59" ref="F169:S169">F3-F14</f>
        <v>-3124459.6900000013</v>
      </c>
      <c r="G169" s="122">
        <f t="shared" si="59"/>
        <v>26238.39999999851</v>
      </c>
      <c r="H169" s="122">
        <f t="shared" si="59"/>
        <v>-4871540.93</v>
      </c>
      <c r="I169" s="123">
        <f t="shared" si="59"/>
        <v>-1946205.9199999943</v>
      </c>
      <c r="J169" s="124">
        <f t="shared" si="59"/>
        <v>-2607411.219999999</v>
      </c>
      <c r="K169" s="125">
        <f t="shared" si="59"/>
        <v>1300000</v>
      </c>
      <c r="L169" s="125">
        <f t="shared" si="59"/>
        <v>1850000</v>
      </c>
      <c r="M169" s="125">
        <f t="shared" si="59"/>
        <v>2000000</v>
      </c>
      <c r="N169" s="125">
        <f t="shared" si="59"/>
        <v>2200000</v>
      </c>
      <c r="O169" s="125">
        <f t="shared" si="59"/>
        <v>2100000</v>
      </c>
      <c r="P169" s="125">
        <f t="shared" si="59"/>
        <v>2000000</v>
      </c>
      <c r="Q169" s="125">
        <f t="shared" si="59"/>
        <v>2000000</v>
      </c>
      <c r="R169" s="125">
        <f t="shared" si="59"/>
        <v>1000000</v>
      </c>
      <c r="S169" s="125">
        <f t="shared" si="59"/>
        <v>1053368.1600000001</v>
      </c>
      <c r="T169" s="113"/>
    </row>
    <row r="170" spans="1:20" ht="12.75" outlineLevel="2">
      <c r="A170" s="113"/>
      <c r="B170" s="113"/>
      <c r="C170" s="113"/>
      <c r="D170" s="113"/>
      <c r="E170" s="126" t="s">
        <v>305</v>
      </c>
      <c r="F170" s="121">
        <f aca="true" t="shared" si="60" ref="F170:S170">E37+F28-F33+(F42-E42)+(F92-E92)+F97</f>
        <v>4083460.7199999997</v>
      </c>
      <c r="G170" s="122">
        <f t="shared" si="60"/>
        <v>13906544.860000001</v>
      </c>
      <c r="H170" s="122">
        <f t="shared" si="60"/>
        <v>15821291.95</v>
      </c>
      <c r="I170" s="123">
        <f t="shared" si="60"/>
        <v>17418115.25</v>
      </c>
      <c r="J170" s="124">
        <f t="shared" si="60"/>
        <v>15503368.16</v>
      </c>
      <c r="K170" s="125">
        <f t="shared" si="60"/>
        <v>14203368.16</v>
      </c>
      <c r="L170" s="125">
        <f t="shared" si="60"/>
        <v>12353368.16</v>
      </c>
      <c r="M170" s="125">
        <f t="shared" si="60"/>
        <v>10353368.16</v>
      </c>
      <c r="N170" s="125">
        <f t="shared" si="60"/>
        <v>8153368.16</v>
      </c>
      <c r="O170" s="125">
        <f t="shared" si="60"/>
        <v>6053368.16</v>
      </c>
      <c r="P170" s="125">
        <f t="shared" si="60"/>
        <v>4053368.16</v>
      </c>
      <c r="Q170" s="125">
        <f t="shared" si="60"/>
        <v>2053368.1600000001</v>
      </c>
      <c r="R170" s="125">
        <f t="shared" si="60"/>
        <v>1053368.16</v>
      </c>
      <c r="S170" s="125">
        <f t="shared" si="60"/>
        <v>0</v>
      </c>
      <c r="T170" s="113"/>
    </row>
    <row r="171" spans="1:20" ht="12.75" outlineLevel="2">
      <c r="A171" s="113"/>
      <c r="B171" s="113"/>
      <c r="C171" s="113"/>
      <c r="D171" s="113"/>
      <c r="E171" s="127" t="s">
        <v>306</v>
      </c>
      <c r="F171" s="128" t="s">
        <v>39</v>
      </c>
      <c r="G171" s="129">
        <f>F83-(G85+G86+G87+G88)</f>
        <v>0</v>
      </c>
      <c r="H171" s="129">
        <f aca="true" t="shared" si="61" ref="H171:S171">G83-(H85+H86+H87+H88)</f>
        <v>0</v>
      </c>
      <c r="I171" s="130">
        <f t="shared" si="61"/>
        <v>0</v>
      </c>
      <c r="J171" s="131">
        <f t="shared" si="61"/>
        <v>0</v>
      </c>
      <c r="K171" s="132">
        <f t="shared" si="61"/>
        <v>0</v>
      </c>
      <c r="L171" s="132">
        <f t="shared" si="61"/>
        <v>0</v>
      </c>
      <c r="M171" s="132">
        <f t="shared" si="61"/>
        <v>0</v>
      </c>
      <c r="N171" s="132">
        <f t="shared" si="61"/>
        <v>0</v>
      </c>
      <c r="O171" s="132">
        <f t="shared" si="61"/>
        <v>0</v>
      </c>
      <c r="P171" s="132">
        <f t="shared" si="61"/>
        <v>0</v>
      </c>
      <c r="Q171" s="132">
        <f t="shared" si="61"/>
        <v>0</v>
      </c>
      <c r="R171" s="132">
        <f t="shared" si="61"/>
        <v>0</v>
      </c>
      <c r="S171" s="132">
        <f t="shared" si="61"/>
        <v>0</v>
      </c>
      <c r="T171" s="113"/>
    </row>
    <row r="172" spans="6:9" ht="12.75">
      <c r="F172" s="133"/>
      <c r="G172" s="133"/>
      <c r="H172" s="133"/>
      <c r="I172" s="133"/>
    </row>
    <row r="173" spans="5:9" ht="12.75">
      <c r="E173" s="134" t="s">
        <v>307</v>
      </c>
      <c r="F173" s="135"/>
      <c r="G173" s="135"/>
      <c r="H173" s="135"/>
      <c r="I173" s="135"/>
    </row>
    <row r="174" spans="5:9" ht="12.75" outlineLevel="1">
      <c r="E174" s="136" t="s">
        <v>308</v>
      </c>
      <c r="F174" s="137"/>
      <c r="G174" s="137"/>
      <c r="H174" s="137"/>
      <c r="I174" s="137"/>
    </row>
    <row r="175" spans="5:19" ht="12.75" outlineLevel="2">
      <c r="E175" s="138">
        <v>0</v>
      </c>
      <c r="F175" s="139" t="str">
        <f>+"różnica mniejsza od "&amp;TEXT(E175*100,"0,0")&amp;"%"</f>
        <v>różnica mniejsza od 0,0%</v>
      </c>
      <c r="G175" s="140"/>
      <c r="H175" s="140"/>
      <c r="I175" s="140"/>
      <c r="J175"/>
      <c r="K175" s="141"/>
      <c r="L175" s="141"/>
      <c r="M175" s="141"/>
      <c r="N175" s="141"/>
      <c r="O175" s="141"/>
      <c r="P175" s="141"/>
      <c r="Q175" s="141"/>
      <c r="R175" s="141"/>
      <c r="S175" s="141"/>
    </row>
    <row r="176" spans="5:19" ht="12.75" outlineLevel="2">
      <c r="E176" s="142">
        <v>0.005</v>
      </c>
      <c r="F176" s="139" t="str">
        <f>+"różnica mniejsza od "&amp;TEXT(E176*100,"0,0")&amp;"%"</f>
        <v>różnica mniejsza od 0,5%</v>
      </c>
      <c r="G176" s="140"/>
      <c r="H176" s="140"/>
      <c r="I176" s="140"/>
      <c r="J176"/>
      <c r="K176" s="141"/>
      <c r="L176" s="141"/>
      <c r="M176" s="141"/>
      <c r="N176" s="141"/>
      <c r="O176" s="141"/>
      <c r="P176" s="141"/>
      <c r="Q176" s="141"/>
      <c r="R176" s="141"/>
      <c r="S176" s="141"/>
    </row>
    <row r="177" spans="5:19" ht="12.75" outlineLevel="2">
      <c r="E177" s="143">
        <v>0.01</v>
      </c>
      <c r="F177" s="139" t="str">
        <f>+"różnica mniejsza od "&amp;TEXT(E177*100,"0,0")&amp;"%"</f>
        <v>różnica mniejsza od 1,0%</v>
      </c>
      <c r="G177" s="140"/>
      <c r="H177" s="140"/>
      <c r="I177" s="140"/>
      <c r="J177"/>
      <c r="K177" s="141"/>
      <c r="L177" s="141"/>
      <c r="M177" s="141"/>
      <c r="N177" s="141"/>
      <c r="O177" s="141"/>
      <c r="P177" s="141"/>
      <c r="Q177" s="141"/>
      <c r="R177" s="141"/>
      <c r="S177" s="141"/>
    </row>
    <row r="178" spans="5:19" ht="12.75" outlineLevel="2">
      <c r="E178" s="144" t="s">
        <v>309</v>
      </c>
      <c r="F178" s="145">
        <f aca="true" t="shared" si="62" ref="F178:S178">+IF(F3=0,"",F54-F49)</f>
        <v>-0.0756</v>
      </c>
      <c r="G178" s="146">
        <f t="shared" si="62"/>
        <v>-0.1061</v>
      </c>
      <c r="H178" s="146">
        <f t="shared" si="62"/>
        <v>-0.0797</v>
      </c>
      <c r="I178" s="147">
        <f t="shared" si="62"/>
        <v>-0.0782</v>
      </c>
      <c r="J178" s="148">
        <f t="shared" si="62"/>
        <v>-0.0469</v>
      </c>
      <c r="K178" s="149">
        <f t="shared" si="62"/>
        <v>0.0010000000000000009</v>
      </c>
      <c r="L178" s="149">
        <f t="shared" si="62"/>
        <v>0.004100000000000006</v>
      </c>
      <c r="M178" s="149">
        <f t="shared" si="62"/>
        <v>0.04190000000000001</v>
      </c>
      <c r="N178" s="149">
        <f t="shared" si="62"/>
        <v>0.045</v>
      </c>
      <c r="O178" s="149">
        <f t="shared" si="62"/>
        <v>0.053299999999999986</v>
      </c>
      <c r="P178" s="149">
        <f t="shared" si="62"/>
        <v>0.061700000000000005</v>
      </c>
      <c r="Q178" s="149">
        <f t="shared" si="62"/>
        <v>0.0642</v>
      </c>
      <c r="R178" s="149">
        <f t="shared" si="62"/>
        <v>0.0953</v>
      </c>
      <c r="S178" s="149">
        <f t="shared" si="62"/>
        <v>0.09609999999999999</v>
      </c>
    </row>
    <row r="179" spans="5:19" ht="12.75" outlineLevel="2">
      <c r="E179" s="150" t="s">
        <v>310</v>
      </c>
      <c r="F179" s="151">
        <f aca="true" t="shared" si="63" ref="F179:S179">+IF(F3=0,"",F54-F50)</f>
        <v>-0.0756</v>
      </c>
      <c r="G179" s="152">
        <f t="shared" si="63"/>
        <v>-0.1061</v>
      </c>
      <c r="H179" s="152">
        <f t="shared" si="63"/>
        <v>-0.0797</v>
      </c>
      <c r="I179" s="153">
        <f t="shared" si="63"/>
        <v>-0.0782</v>
      </c>
      <c r="J179" s="154">
        <f t="shared" si="63"/>
        <v>-0.0469</v>
      </c>
      <c r="K179" s="155">
        <f t="shared" si="63"/>
        <v>0.0010000000000000009</v>
      </c>
      <c r="L179" s="155">
        <f t="shared" si="63"/>
        <v>0.004100000000000006</v>
      </c>
      <c r="M179" s="155">
        <f t="shared" si="63"/>
        <v>0.04190000000000001</v>
      </c>
      <c r="N179" s="155">
        <f t="shared" si="63"/>
        <v>0.045</v>
      </c>
      <c r="O179" s="155">
        <f t="shared" si="63"/>
        <v>0.053299999999999986</v>
      </c>
      <c r="P179" s="155">
        <f t="shared" si="63"/>
        <v>0.061700000000000005</v>
      </c>
      <c r="Q179" s="155">
        <f t="shared" si="63"/>
        <v>0.0642</v>
      </c>
      <c r="R179" s="155">
        <f t="shared" si="63"/>
        <v>0.0953</v>
      </c>
      <c r="S179" s="155">
        <f t="shared" si="63"/>
        <v>0.09609999999999999</v>
      </c>
    </row>
    <row r="180" spans="5:19" ht="12.75" outlineLevel="2">
      <c r="E180" s="144" t="s">
        <v>311</v>
      </c>
      <c r="F180" s="145">
        <f aca="true" t="shared" si="64" ref="F180:S180">+IF(F3=0,"",F55-F49)</f>
        <v>-0.0756</v>
      </c>
      <c r="G180" s="146">
        <f t="shared" si="64"/>
        <v>-0.1061</v>
      </c>
      <c r="H180" s="146">
        <f t="shared" si="64"/>
        <v>-0.0797</v>
      </c>
      <c r="I180" s="147">
        <f t="shared" si="64"/>
        <v>-0.0782</v>
      </c>
      <c r="J180" s="148">
        <f t="shared" si="64"/>
        <v>-0.027399999999999994</v>
      </c>
      <c r="K180" s="149">
        <f t="shared" si="64"/>
        <v>0.020599999999999993</v>
      </c>
      <c r="L180" s="149">
        <f t="shared" si="64"/>
        <v>0.02360000000000001</v>
      </c>
      <c r="M180" s="149">
        <f t="shared" si="64"/>
        <v>0.04190000000000001</v>
      </c>
      <c r="N180" s="149">
        <f t="shared" si="64"/>
        <v>0.045</v>
      </c>
      <c r="O180" s="149">
        <f t="shared" si="64"/>
        <v>0.053299999999999986</v>
      </c>
      <c r="P180" s="149">
        <f t="shared" si="64"/>
        <v>0.061700000000000005</v>
      </c>
      <c r="Q180" s="149">
        <f t="shared" si="64"/>
        <v>0.0642</v>
      </c>
      <c r="R180" s="149">
        <f t="shared" si="64"/>
        <v>0.0953</v>
      </c>
      <c r="S180" s="149">
        <f t="shared" si="64"/>
        <v>0.09609999999999999</v>
      </c>
    </row>
    <row r="181" spans="5:19" ht="12.75" outlineLevel="2">
      <c r="E181" s="150" t="s">
        <v>312</v>
      </c>
      <c r="F181" s="151">
        <f aca="true" t="shared" si="65" ref="F181:S181">+IF(F3=0,"",F55-F50)</f>
        <v>-0.0756</v>
      </c>
      <c r="G181" s="152">
        <f t="shared" si="65"/>
        <v>-0.1061</v>
      </c>
      <c r="H181" s="152">
        <f t="shared" si="65"/>
        <v>-0.0797</v>
      </c>
      <c r="I181" s="153">
        <f t="shared" si="65"/>
        <v>-0.0782</v>
      </c>
      <c r="J181" s="154">
        <f t="shared" si="65"/>
        <v>-0.027399999999999994</v>
      </c>
      <c r="K181" s="155">
        <f t="shared" si="65"/>
        <v>0.020599999999999993</v>
      </c>
      <c r="L181" s="155">
        <f t="shared" si="65"/>
        <v>0.02360000000000001</v>
      </c>
      <c r="M181" s="155">
        <f t="shared" si="65"/>
        <v>0.04190000000000001</v>
      </c>
      <c r="N181" s="155">
        <f t="shared" si="65"/>
        <v>0.045</v>
      </c>
      <c r="O181" s="155">
        <f t="shared" si="65"/>
        <v>0.053299999999999986</v>
      </c>
      <c r="P181" s="155">
        <f t="shared" si="65"/>
        <v>0.061700000000000005</v>
      </c>
      <c r="Q181" s="155">
        <f t="shared" si="65"/>
        <v>0.0642</v>
      </c>
      <c r="R181" s="155">
        <f t="shared" si="65"/>
        <v>0.0953</v>
      </c>
      <c r="S181" s="155">
        <f t="shared" si="65"/>
        <v>0.09609999999999999</v>
      </c>
    </row>
    <row r="182" spans="5:19" ht="12.75" outlineLevel="1">
      <c r="E182" s="136" t="s">
        <v>313</v>
      </c>
      <c r="F182" s="137"/>
      <c r="G182" s="137"/>
      <c r="H182" s="137"/>
      <c r="I182" s="137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</row>
    <row r="183" spans="5:19" ht="12.75" outlineLevel="2">
      <c r="E183" s="156">
        <v>0.05</v>
      </c>
      <c r="F183" s="139" t="str">
        <f>+"zmiana większa niż +/- "&amp;TEXT(E183*100,"0,0")&amp;"%"</f>
        <v>zmiana większa niż +/- 5,0%</v>
      </c>
      <c r="G183" s="157"/>
      <c r="H183" s="157"/>
      <c r="I183" s="157"/>
      <c r="K183" s="141"/>
      <c r="L183" s="141"/>
      <c r="M183" s="141"/>
      <c r="N183" s="141"/>
      <c r="O183" s="141"/>
      <c r="P183" s="141"/>
      <c r="Q183" s="141"/>
      <c r="R183" s="141"/>
      <c r="S183" s="141"/>
    </row>
    <row r="184" spans="5:19" ht="12.75" outlineLevel="2">
      <c r="E184" s="158">
        <v>0.1</v>
      </c>
      <c r="F184" s="139" t="str">
        <f>+"zmiana większa niż +/- "&amp;TEXT(E184*100,"0,0")&amp;"%"</f>
        <v>zmiana większa niż +/- 10,0%</v>
      </c>
      <c r="G184" s="157"/>
      <c r="H184" s="157"/>
      <c r="I184" s="157"/>
      <c r="K184" s="141"/>
      <c r="L184" s="141"/>
      <c r="M184" s="141"/>
      <c r="N184" s="141"/>
      <c r="O184" s="141"/>
      <c r="P184" s="141"/>
      <c r="Q184" s="141"/>
      <c r="R184" s="141"/>
      <c r="S184" s="141"/>
    </row>
    <row r="185" spans="5:19" ht="12.75" outlineLevel="2">
      <c r="E185" s="159">
        <v>0.2</v>
      </c>
      <c r="F185" s="139" t="str">
        <f>+"zmiana większa niż +/- "&amp;TEXT(E185*100,"0,0")&amp;"%"</f>
        <v>zmiana większa niż +/- 20,0%</v>
      </c>
      <c r="G185" s="157"/>
      <c r="H185" s="157"/>
      <c r="I185" s="157"/>
      <c r="K185" s="141"/>
      <c r="L185" s="141"/>
      <c r="M185" s="141"/>
      <c r="N185" s="141"/>
      <c r="O185" s="141"/>
      <c r="P185" s="141"/>
      <c r="Q185" s="141"/>
      <c r="R185" s="141"/>
      <c r="S185" s="141"/>
    </row>
    <row r="186" spans="1:20" ht="12.75" outlineLevel="2">
      <c r="A186" s="160"/>
      <c r="B186" s="160"/>
      <c r="C186" s="160"/>
      <c r="D186" s="160"/>
      <c r="E186" s="161" t="s">
        <v>9</v>
      </c>
      <c r="F186" s="162" t="s">
        <v>314</v>
      </c>
      <c r="G186" s="163">
        <f aca="true" t="shared" si="66" ref="G186:S186">+IF(G3=0,0,IF(F212&lt;&gt;0,G212/F212-1,0))</f>
        <v>-0.013385273610928339</v>
      </c>
      <c r="H186" s="163">
        <f t="shared" si="66"/>
        <v>0.1468181649525513</v>
      </c>
      <c r="I186" s="164">
        <f t="shared" si="66"/>
        <v>-0.033283619702882516</v>
      </c>
      <c r="J186" s="165">
        <f t="shared" si="66"/>
        <v>-0.07244725601346536</v>
      </c>
      <c r="K186" s="166">
        <f t="shared" si="66"/>
        <v>-0.03821930515872407</v>
      </c>
      <c r="L186" s="166">
        <f t="shared" si="66"/>
        <v>0.009029357468615995</v>
      </c>
      <c r="M186" s="166">
        <f t="shared" si="66"/>
        <v>0.016129032258064502</v>
      </c>
      <c r="N186" s="166">
        <f t="shared" si="66"/>
        <v>0.015873015873015817</v>
      </c>
      <c r="O186" s="166">
        <f t="shared" si="66"/>
        <v>0.015625</v>
      </c>
      <c r="P186" s="166">
        <f t="shared" si="66"/>
        <v>0.01538461538461533</v>
      </c>
      <c r="Q186" s="166">
        <f t="shared" si="66"/>
        <v>0.015151515151515138</v>
      </c>
      <c r="R186" s="166">
        <f t="shared" si="66"/>
        <v>0.014925373134328401</v>
      </c>
      <c r="S186" s="166">
        <f t="shared" si="66"/>
        <v>0.014705882352941124</v>
      </c>
      <c r="T186" s="136"/>
    </row>
    <row r="187" spans="1:20" ht="12.75" outlineLevel="2">
      <c r="A187" s="167"/>
      <c r="B187" s="167"/>
      <c r="C187" s="167"/>
      <c r="D187" s="167"/>
      <c r="E187" s="168" t="s">
        <v>315</v>
      </c>
      <c r="F187" s="169" t="s">
        <v>314</v>
      </c>
      <c r="G187" s="170">
        <f aca="true" t="shared" si="67" ref="G187:S187">+IF(G3=0,0,IF(F213&lt;&gt;0,G213/F213-1,0))</f>
        <v>-0.013385273610928339</v>
      </c>
      <c r="H187" s="170">
        <f t="shared" si="67"/>
        <v>0.1468181649525513</v>
      </c>
      <c r="I187" s="171">
        <f t="shared" si="67"/>
        <v>-0.05942855722920304</v>
      </c>
      <c r="J187" s="172">
        <f t="shared" si="67"/>
        <v>-0.10733893284127771</v>
      </c>
      <c r="K187" s="173">
        <f t="shared" si="67"/>
        <v>0.019711489484364852</v>
      </c>
      <c r="L187" s="173">
        <f t="shared" si="67"/>
        <v>0.016393442622950838</v>
      </c>
      <c r="M187" s="173">
        <f t="shared" si="67"/>
        <v>0.016129032258064502</v>
      </c>
      <c r="N187" s="173">
        <f t="shared" si="67"/>
        <v>0.015873015873015817</v>
      </c>
      <c r="O187" s="173">
        <f t="shared" si="67"/>
        <v>0.015625</v>
      </c>
      <c r="P187" s="173">
        <f t="shared" si="67"/>
        <v>0.01538461538461533</v>
      </c>
      <c r="Q187" s="173">
        <f t="shared" si="67"/>
        <v>0.015151515151515138</v>
      </c>
      <c r="R187" s="173">
        <f t="shared" si="67"/>
        <v>0.014925373134328401</v>
      </c>
      <c r="S187" s="173">
        <f t="shared" si="67"/>
        <v>0.014705882352941124</v>
      </c>
      <c r="T187" s="113"/>
    </row>
    <row r="188" spans="1:20" ht="12.75" outlineLevel="2">
      <c r="A188" s="167"/>
      <c r="B188" s="167"/>
      <c r="C188" s="167"/>
      <c r="D188" s="167"/>
      <c r="E188" s="174" t="s">
        <v>316</v>
      </c>
      <c r="F188" s="175" t="s">
        <v>314</v>
      </c>
      <c r="G188" s="176">
        <f aca="true" t="shared" si="68" ref="G188:S188">+IF(G3=0,0,IF(F214&lt;&gt;0,G214/F214-1,0))</f>
        <v>0.09727063444840733</v>
      </c>
      <c r="H188" s="176">
        <f t="shared" si="68"/>
        <v>0.05290747826185238</v>
      </c>
      <c r="I188" s="177">
        <f t="shared" si="68"/>
        <v>-0.04777515524949949</v>
      </c>
      <c r="J188" s="172">
        <f t="shared" si="68"/>
        <v>0.0364707887360749</v>
      </c>
      <c r="K188" s="173">
        <f t="shared" si="68"/>
        <v>0.03300813046322326</v>
      </c>
      <c r="L188" s="173">
        <f t="shared" si="68"/>
        <v>0.016393442622950838</v>
      </c>
      <c r="M188" s="173">
        <f t="shared" si="68"/>
        <v>0.016129032258064502</v>
      </c>
      <c r="N188" s="173">
        <f t="shared" si="68"/>
        <v>0.015873015873015817</v>
      </c>
      <c r="O188" s="173">
        <f t="shared" si="68"/>
        <v>0.015625</v>
      </c>
      <c r="P188" s="173">
        <f t="shared" si="68"/>
        <v>0.01538461538461533</v>
      </c>
      <c r="Q188" s="173">
        <f t="shared" si="68"/>
        <v>0.015151515151515138</v>
      </c>
      <c r="R188" s="173">
        <f t="shared" si="68"/>
        <v>0.014925373134328401</v>
      </c>
      <c r="S188" s="173">
        <f t="shared" si="68"/>
        <v>0.014705882352941124</v>
      </c>
      <c r="T188" s="113"/>
    </row>
    <row r="189" spans="1:20" ht="12.75" outlineLevel="2">
      <c r="A189" s="167"/>
      <c r="B189" s="167"/>
      <c r="C189" s="167"/>
      <c r="D189" s="167"/>
      <c r="E189" s="174" t="s">
        <v>317</v>
      </c>
      <c r="F189" s="175" t="s">
        <v>314</v>
      </c>
      <c r="G189" s="176">
        <f aca="true" t="shared" si="69" ref="G189:S189">+IF(G3=0,0,IF(F215&lt;&gt;0,G215/F215-1,0))</f>
        <v>-0.5258614651877271</v>
      </c>
      <c r="H189" s="176">
        <f t="shared" si="69"/>
        <v>1.1533386239627186</v>
      </c>
      <c r="I189" s="177">
        <f t="shared" si="69"/>
        <v>-0.12050000256814741</v>
      </c>
      <c r="J189" s="172">
        <f t="shared" si="69"/>
        <v>-0.9233149273423576</v>
      </c>
      <c r="K189" s="173">
        <f t="shared" si="69"/>
        <v>-1</v>
      </c>
      <c r="L189" s="173">
        <f t="shared" si="69"/>
        <v>0</v>
      </c>
      <c r="M189" s="173">
        <f t="shared" si="69"/>
        <v>0</v>
      </c>
      <c r="N189" s="173">
        <f t="shared" si="69"/>
        <v>0</v>
      </c>
      <c r="O189" s="173">
        <f t="shared" si="69"/>
        <v>0</v>
      </c>
      <c r="P189" s="173">
        <f t="shared" si="69"/>
        <v>0</v>
      </c>
      <c r="Q189" s="173">
        <f t="shared" si="69"/>
        <v>0</v>
      </c>
      <c r="R189" s="173">
        <f t="shared" si="69"/>
        <v>0</v>
      </c>
      <c r="S189" s="173">
        <f t="shared" si="69"/>
        <v>0</v>
      </c>
      <c r="T189" s="113"/>
    </row>
    <row r="190" spans="1:20" ht="12.75" outlineLevel="2">
      <c r="A190" s="167"/>
      <c r="B190" s="167"/>
      <c r="C190" s="167"/>
      <c r="D190" s="167"/>
      <c r="E190" s="174" t="s">
        <v>318</v>
      </c>
      <c r="F190" s="175" t="s">
        <v>314</v>
      </c>
      <c r="G190" s="176">
        <f aca="true" t="shared" si="70" ref="G190:S190">+IF(G3=0,0,IF(F216&lt;&gt;0,G216/F216-1,0))</f>
        <v>-0.38293911945032866</v>
      </c>
      <c r="H190" s="176">
        <f t="shared" si="70"/>
        <v>1.1365760684894708</v>
      </c>
      <c r="I190" s="177">
        <f t="shared" si="70"/>
        <v>-0.1333269011906416</v>
      </c>
      <c r="J190" s="172">
        <f t="shared" si="70"/>
        <v>-0.9465091620989623</v>
      </c>
      <c r="K190" s="173">
        <f t="shared" si="70"/>
        <v>-1</v>
      </c>
      <c r="L190" s="173">
        <f t="shared" si="70"/>
        <v>0</v>
      </c>
      <c r="M190" s="173">
        <f t="shared" si="70"/>
        <v>0</v>
      </c>
      <c r="N190" s="173">
        <f t="shared" si="70"/>
        <v>0</v>
      </c>
      <c r="O190" s="173">
        <f t="shared" si="70"/>
        <v>0</v>
      </c>
      <c r="P190" s="173">
        <f t="shared" si="70"/>
        <v>0</v>
      </c>
      <c r="Q190" s="173">
        <f t="shared" si="70"/>
        <v>0</v>
      </c>
      <c r="R190" s="173">
        <f t="shared" si="70"/>
        <v>0</v>
      </c>
      <c r="S190" s="173">
        <f t="shared" si="70"/>
        <v>0</v>
      </c>
      <c r="T190" s="113"/>
    </row>
    <row r="191" spans="1:20" ht="12.75" outlineLevel="2">
      <c r="A191" s="167"/>
      <c r="B191" s="167"/>
      <c r="C191" s="167"/>
      <c r="D191" s="167"/>
      <c r="E191" s="178" t="s">
        <v>319</v>
      </c>
      <c r="F191" s="179" t="s">
        <v>314</v>
      </c>
      <c r="G191" s="180">
        <f aca="true" t="shared" si="71" ref="G191:S191">+IF(G3=0,0,IF(F217&lt;&gt;0,G217/F217-1,0))</f>
        <v>-0.980551221578307</v>
      </c>
      <c r="H191" s="180">
        <f t="shared" si="71"/>
        <v>2.845301963872619</v>
      </c>
      <c r="I191" s="181">
        <f t="shared" si="71"/>
        <v>0.5988832000000002</v>
      </c>
      <c r="J191" s="182">
        <f t="shared" si="71"/>
        <v>-0.21820430660601098</v>
      </c>
      <c r="K191" s="183">
        <f t="shared" si="71"/>
        <v>-1</v>
      </c>
      <c r="L191" s="183">
        <f t="shared" si="71"/>
        <v>0</v>
      </c>
      <c r="M191" s="183">
        <f t="shared" si="71"/>
        <v>0</v>
      </c>
      <c r="N191" s="183">
        <f t="shared" si="71"/>
        <v>0</v>
      </c>
      <c r="O191" s="183">
        <f t="shared" si="71"/>
        <v>0</v>
      </c>
      <c r="P191" s="183">
        <f t="shared" si="71"/>
        <v>0</v>
      </c>
      <c r="Q191" s="183">
        <f t="shared" si="71"/>
        <v>0</v>
      </c>
      <c r="R191" s="183">
        <f t="shared" si="71"/>
        <v>0</v>
      </c>
      <c r="S191" s="183">
        <f t="shared" si="71"/>
        <v>0</v>
      </c>
      <c r="T191" s="113"/>
    </row>
    <row r="192" spans="1:20" ht="12.75" outlineLevel="2">
      <c r="A192" s="160"/>
      <c r="B192" s="160"/>
      <c r="C192" s="160"/>
      <c r="D192" s="160"/>
      <c r="E192" s="161" t="s">
        <v>30</v>
      </c>
      <c r="F192" s="162" t="s">
        <v>314</v>
      </c>
      <c r="G192" s="163">
        <f aca="true" t="shared" si="72" ref="G192:S192">+IF(G3=0,0,IF(F218&lt;&gt;0,G218/F218-1,0))</f>
        <v>-0.10321295389671414</v>
      </c>
      <c r="H192" s="163">
        <f t="shared" si="72"/>
        <v>0.3047457803007063</v>
      </c>
      <c r="I192" s="164">
        <f t="shared" si="72"/>
        <v>-0.1015179054420795</v>
      </c>
      <c r="J192" s="165">
        <f t="shared" si="72"/>
        <v>-0.050399411565316354</v>
      </c>
      <c r="K192" s="166">
        <f t="shared" si="72"/>
        <v>-0.14842661999843254</v>
      </c>
      <c r="L192" s="166">
        <f t="shared" si="72"/>
        <v>-0.009264808650861545</v>
      </c>
      <c r="M192" s="166">
        <f t="shared" si="72"/>
        <v>0.012006861063464935</v>
      </c>
      <c r="N192" s="166">
        <f t="shared" si="72"/>
        <v>0.01016949152542379</v>
      </c>
      <c r="O192" s="166">
        <f t="shared" si="72"/>
        <v>0.020134228187919545</v>
      </c>
      <c r="P192" s="166">
        <f t="shared" si="72"/>
        <v>0.019736842105263053</v>
      </c>
      <c r="Q192" s="166">
        <f t="shared" si="72"/>
        <v>0.016129032258064502</v>
      </c>
      <c r="R192" s="166">
        <f t="shared" si="72"/>
        <v>0.04761904761904767</v>
      </c>
      <c r="S192" s="166">
        <f t="shared" si="72"/>
        <v>0.013534298181818283</v>
      </c>
      <c r="T192" s="136"/>
    </row>
    <row r="193" spans="1:20" ht="12.75" outlineLevel="2">
      <c r="A193" s="167"/>
      <c r="B193" s="167"/>
      <c r="C193" s="167"/>
      <c r="D193" s="167"/>
      <c r="E193" s="184" t="s">
        <v>320</v>
      </c>
      <c r="F193" s="175" t="s">
        <v>314</v>
      </c>
      <c r="G193" s="176">
        <f aca="true" t="shared" si="73" ref="G193:S193">+IF(G3=0,0,IF(F219&lt;&gt;0,G219/F219-1,0))</f>
        <v>-0.10321295389671414</v>
      </c>
      <c r="H193" s="176">
        <f t="shared" si="73"/>
        <v>0.3047457803007063</v>
      </c>
      <c r="I193" s="177">
        <f t="shared" si="73"/>
        <v>-0.1015179054420795</v>
      </c>
      <c r="J193" s="172">
        <f t="shared" si="73"/>
        <v>-0.11849584045431139</v>
      </c>
      <c r="K193" s="173">
        <f t="shared" si="73"/>
        <v>-0.09081537953326457</v>
      </c>
      <c r="L193" s="173">
        <f t="shared" si="73"/>
        <v>-0.00035868982031916907</v>
      </c>
      <c r="M193" s="173">
        <f t="shared" si="73"/>
        <v>0.012006861063464935</v>
      </c>
      <c r="N193" s="173">
        <f t="shared" si="73"/>
        <v>0.01016949152542379</v>
      </c>
      <c r="O193" s="173">
        <f t="shared" si="73"/>
        <v>0.020134228187919545</v>
      </c>
      <c r="P193" s="173">
        <f t="shared" si="73"/>
        <v>0.019736842105263053</v>
      </c>
      <c r="Q193" s="173">
        <f t="shared" si="73"/>
        <v>0.016129032258064502</v>
      </c>
      <c r="R193" s="173">
        <f t="shared" si="73"/>
        <v>0.04761904761904767</v>
      </c>
      <c r="S193" s="173">
        <f t="shared" si="73"/>
        <v>0.013534298181818283</v>
      </c>
      <c r="T193" s="113"/>
    </row>
    <row r="194" spans="1:20" ht="12.75" outlineLevel="2">
      <c r="A194" s="160"/>
      <c r="B194" s="160"/>
      <c r="C194" s="160"/>
      <c r="D194" s="160"/>
      <c r="E194" s="185" t="s">
        <v>321</v>
      </c>
      <c r="F194" s="186" t="s">
        <v>314</v>
      </c>
      <c r="G194" s="187">
        <f aca="true" t="shared" si="74" ref="G194:S194">+IF(G3=0,0,IF(F220&lt;&gt;0,G220/F220-1,0))</f>
        <v>0.03655915966794465</v>
      </c>
      <c r="H194" s="187">
        <f t="shared" si="74"/>
        <v>0.1182294313707768</v>
      </c>
      <c r="I194" s="188">
        <f t="shared" si="74"/>
        <v>-0.08328525089770145</v>
      </c>
      <c r="J194" s="189">
        <f t="shared" si="74"/>
        <v>0.023242268275500022</v>
      </c>
      <c r="K194" s="190">
        <f t="shared" si="74"/>
        <v>-0.019288098524364417</v>
      </c>
      <c r="L194" s="190">
        <f t="shared" si="74"/>
        <v>0.010084657315749368</v>
      </c>
      <c r="M194" s="190">
        <f t="shared" si="74"/>
        <v>0.009944751381215422</v>
      </c>
      <c r="N194" s="190">
        <f t="shared" si="74"/>
        <v>0.013493800145878865</v>
      </c>
      <c r="O194" s="190">
        <f t="shared" si="74"/>
        <v>0.015833033465275204</v>
      </c>
      <c r="P194" s="190">
        <f t="shared" si="74"/>
        <v>0.015586255756287581</v>
      </c>
      <c r="Q194" s="190">
        <f t="shared" si="74"/>
        <v>0.016393442622950838</v>
      </c>
      <c r="R194" s="190">
        <f t="shared" si="74"/>
        <v>0.016129032258064502</v>
      </c>
      <c r="S194" s="190">
        <f t="shared" si="74"/>
        <v>0.015197568389057725</v>
      </c>
      <c r="T194" s="136"/>
    </row>
    <row r="195" spans="1:20" ht="12.75" outlineLevel="2">
      <c r="A195" s="167"/>
      <c r="B195" s="167"/>
      <c r="C195" s="167"/>
      <c r="D195" s="167"/>
      <c r="E195" s="174" t="s">
        <v>322</v>
      </c>
      <c r="F195" s="175" t="s">
        <v>314</v>
      </c>
      <c r="G195" s="176">
        <f aca="true" t="shared" si="75" ref="G195:S195">+IF(G3=0,0,IF(F221&lt;&gt;0,G221/F221-1,0))</f>
        <v>0.03655915966794465</v>
      </c>
      <c r="H195" s="176">
        <f t="shared" si="75"/>
        <v>0.1182294313707768</v>
      </c>
      <c r="I195" s="177">
        <f t="shared" si="75"/>
        <v>-0.08328525089770145</v>
      </c>
      <c r="J195" s="172">
        <f t="shared" si="75"/>
        <v>-0.04181825920876403</v>
      </c>
      <c r="K195" s="173">
        <f t="shared" si="75"/>
        <v>0.03708847648323865</v>
      </c>
      <c r="L195" s="173">
        <f t="shared" si="75"/>
        <v>0.02003246070151188</v>
      </c>
      <c r="M195" s="173">
        <f t="shared" si="75"/>
        <v>0.009944751381215422</v>
      </c>
      <c r="N195" s="173">
        <f t="shared" si="75"/>
        <v>0.013493800145878865</v>
      </c>
      <c r="O195" s="173">
        <f t="shared" si="75"/>
        <v>0.015833033465275204</v>
      </c>
      <c r="P195" s="173">
        <f t="shared" si="75"/>
        <v>0.015586255756287581</v>
      </c>
      <c r="Q195" s="173">
        <f t="shared" si="75"/>
        <v>0.016393442622950838</v>
      </c>
      <c r="R195" s="173">
        <f t="shared" si="75"/>
        <v>0.016129032258064502</v>
      </c>
      <c r="S195" s="173">
        <f t="shared" si="75"/>
        <v>0.015197568389057725</v>
      </c>
      <c r="T195" s="113"/>
    </row>
    <row r="196" spans="1:20" ht="12.75" outlineLevel="2">
      <c r="A196" s="167"/>
      <c r="B196" s="167"/>
      <c r="C196" s="167"/>
      <c r="D196" s="167"/>
      <c r="E196" s="174" t="s">
        <v>323</v>
      </c>
      <c r="F196" s="175" t="s">
        <v>314</v>
      </c>
      <c r="G196" s="176">
        <f aca="true" t="shared" si="76" ref="G196:S196">+IF(G3=0,0,IF(F222&lt;&gt;0,G222/F222-1,0))</f>
        <v>-1</v>
      </c>
      <c r="H196" s="176">
        <f t="shared" si="76"/>
        <v>0</v>
      </c>
      <c r="I196" s="177">
        <f t="shared" si="76"/>
        <v>-0.016080881175560724</v>
      </c>
      <c r="J196" s="172">
        <f t="shared" si="76"/>
        <v>0.035722429028518965</v>
      </c>
      <c r="K196" s="173">
        <f t="shared" si="76"/>
        <v>-0.0028738943459653</v>
      </c>
      <c r="L196" s="173">
        <f t="shared" si="76"/>
        <v>0.032258064516129004</v>
      </c>
      <c r="M196" s="173">
        <f t="shared" si="76"/>
        <v>0.015625</v>
      </c>
      <c r="N196" s="173">
        <f t="shared" si="76"/>
        <v>0.01538461538461533</v>
      </c>
      <c r="O196" s="173">
        <f t="shared" si="76"/>
        <v>0.015151515151515138</v>
      </c>
      <c r="P196" s="173">
        <f t="shared" si="76"/>
        <v>0.014925373134328401</v>
      </c>
      <c r="Q196" s="173">
        <f t="shared" si="76"/>
        <v>0.014705882352941124</v>
      </c>
      <c r="R196" s="173">
        <f t="shared" si="76"/>
        <v>0.01449275362318847</v>
      </c>
      <c r="S196" s="173">
        <f t="shared" si="76"/>
        <v>0.017928571428571516</v>
      </c>
      <c r="T196" s="113"/>
    </row>
    <row r="197" spans="1:20" ht="12.75" outlineLevel="2">
      <c r="A197" s="167"/>
      <c r="B197" s="167"/>
      <c r="C197" s="167"/>
      <c r="D197" s="167"/>
      <c r="E197" s="178" t="s">
        <v>324</v>
      </c>
      <c r="F197" s="191" t="s">
        <v>314</v>
      </c>
      <c r="G197" s="192">
        <f aca="true" t="shared" si="77" ref="G197:S197">+IF(G3=0,0,IF(F223&lt;&gt;0,G223/F223-1,0))</f>
        <v>0.8348975314804779</v>
      </c>
      <c r="H197" s="192">
        <f t="shared" si="77"/>
        <v>-0.3662361223343831</v>
      </c>
      <c r="I197" s="193">
        <f t="shared" si="77"/>
        <v>-0.13021508081165933</v>
      </c>
      <c r="J197" s="194">
        <f t="shared" si="77"/>
        <v>-1</v>
      </c>
      <c r="K197" s="195">
        <f t="shared" si="77"/>
        <v>0</v>
      </c>
      <c r="L197" s="195">
        <f t="shared" si="77"/>
        <v>-0.0021246264617097443</v>
      </c>
      <c r="M197" s="195">
        <f t="shared" si="77"/>
        <v>0.02207505518763786</v>
      </c>
      <c r="N197" s="195">
        <f t="shared" si="77"/>
        <v>0.021598272138228847</v>
      </c>
      <c r="O197" s="195">
        <f t="shared" si="77"/>
        <v>0.02114164904862581</v>
      </c>
      <c r="P197" s="195">
        <f t="shared" si="77"/>
        <v>0.020703933747411973</v>
      </c>
      <c r="Q197" s="195">
        <f t="shared" si="77"/>
        <v>0.020283975659229236</v>
      </c>
      <c r="R197" s="195">
        <f t="shared" si="77"/>
        <v>0.02047713717693833</v>
      </c>
      <c r="S197" s="195">
        <f t="shared" si="77"/>
        <v>0.018897330995519157</v>
      </c>
      <c r="T197" s="113"/>
    </row>
    <row r="198" spans="1:20" ht="12.75" outlineLevel="1">
      <c r="A198" s="167"/>
      <c r="B198" s="167"/>
      <c r="C198" s="167"/>
      <c r="D198" s="167"/>
      <c r="E198" s="136" t="s">
        <v>325</v>
      </c>
      <c r="F198" s="196"/>
      <c r="G198" s="196"/>
      <c r="H198" s="196"/>
      <c r="I198" s="196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13"/>
    </row>
    <row r="199" spans="1:20" ht="12.75" outlineLevel="2">
      <c r="A199" s="160"/>
      <c r="B199" s="160"/>
      <c r="C199" s="160"/>
      <c r="D199" s="160"/>
      <c r="E199" s="161" t="s">
        <v>9</v>
      </c>
      <c r="F199" s="198" t="s">
        <v>314</v>
      </c>
      <c r="G199" s="199">
        <f aca="true" t="shared" si="78" ref="G199:G204">+IF(G$212=0,"",G212-F212)</f>
        <v>-421433.6800000034</v>
      </c>
      <c r="H199" s="199">
        <f aca="true" t="shared" si="79" ref="H199:H204">+IF(H$212=0,"",H212-G212)</f>
        <v>4560677.6000000015</v>
      </c>
      <c r="I199" s="200">
        <f aca="true" t="shared" si="80" ref="I199:I204">+IF(I$212=0,"",I212-H212)</f>
        <v>-1185699.6599999964</v>
      </c>
      <c r="J199" s="201">
        <f aca="true" t="shared" si="81" ref="J199:S199">+IF(J$212=0,"",J212-I212)</f>
        <v>-2494969.0500000045</v>
      </c>
      <c r="K199" s="202">
        <f t="shared" si="81"/>
        <v>-1220856.509999998</v>
      </c>
      <c r="L199" s="202">
        <f t="shared" si="81"/>
        <v>277405.2899999991</v>
      </c>
      <c r="M199" s="202">
        <f t="shared" si="81"/>
        <v>500000</v>
      </c>
      <c r="N199" s="202">
        <f t="shared" si="81"/>
        <v>500000</v>
      </c>
      <c r="O199" s="202">
        <f t="shared" si="81"/>
        <v>500000</v>
      </c>
      <c r="P199" s="202">
        <f t="shared" si="81"/>
        <v>500000</v>
      </c>
      <c r="Q199" s="202">
        <f t="shared" si="81"/>
        <v>500000</v>
      </c>
      <c r="R199" s="202">
        <f t="shared" si="81"/>
        <v>500000</v>
      </c>
      <c r="S199" s="202">
        <f t="shared" si="81"/>
        <v>500000</v>
      </c>
      <c r="T199" s="136"/>
    </row>
    <row r="200" spans="1:20" ht="12.75" outlineLevel="2">
      <c r="A200" s="167"/>
      <c r="B200" s="167"/>
      <c r="C200" s="167"/>
      <c r="D200" s="167"/>
      <c r="E200" s="168" t="s">
        <v>315</v>
      </c>
      <c r="F200" s="203" t="s">
        <v>314</v>
      </c>
      <c r="G200" s="204">
        <f t="shared" si="78"/>
        <v>-421433.6800000034</v>
      </c>
      <c r="H200" s="204">
        <f t="shared" si="79"/>
        <v>4560677.6000000015</v>
      </c>
      <c r="I200" s="205">
        <f t="shared" si="80"/>
        <v>-2117090.049999997</v>
      </c>
      <c r="J200" s="206">
        <f aca="true" t="shared" si="82" ref="J200:S200">+IF(J$212=0,"",J213-I213)</f>
        <v>-3596608.8300000057</v>
      </c>
      <c r="K200" s="207">
        <f t="shared" si="82"/>
        <v>589578.950000003</v>
      </c>
      <c r="L200" s="207">
        <f t="shared" si="82"/>
        <v>500000</v>
      </c>
      <c r="M200" s="207">
        <f t="shared" si="82"/>
        <v>500000</v>
      </c>
      <c r="N200" s="207">
        <f t="shared" si="82"/>
        <v>500000</v>
      </c>
      <c r="O200" s="207">
        <f t="shared" si="82"/>
        <v>500000</v>
      </c>
      <c r="P200" s="207">
        <f t="shared" si="82"/>
        <v>500000</v>
      </c>
      <c r="Q200" s="207">
        <f t="shared" si="82"/>
        <v>500000</v>
      </c>
      <c r="R200" s="207">
        <f t="shared" si="82"/>
        <v>500000</v>
      </c>
      <c r="S200" s="207">
        <f t="shared" si="82"/>
        <v>500000</v>
      </c>
      <c r="T200" s="113"/>
    </row>
    <row r="201" spans="1:20" ht="12.75" outlineLevel="2">
      <c r="A201" s="167"/>
      <c r="B201" s="167"/>
      <c r="C201" s="167"/>
      <c r="D201" s="167"/>
      <c r="E201" s="174" t="s">
        <v>316</v>
      </c>
      <c r="F201" s="208" t="s">
        <v>314</v>
      </c>
      <c r="G201" s="209">
        <f t="shared" si="78"/>
        <v>2518705.0100000016</v>
      </c>
      <c r="H201" s="209">
        <f t="shared" si="79"/>
        <v>1503233.259999998</v>
      </c>
      <c r="I201" s="210">
        <f t="shared" si="80"/>
        <v>-1429228.379999999</v>
      </c>
      <c r="J201" s="206">
        <f aca="true" t="shared" si="83" ref="J201:S201">+IF(J$212=0,"",J214-I214)</f>
        <v>1038924.9800000004</v>
      </c>
      <c r="K201" s="207">
        <f t="shared" si="83"/>
        <v>974578.9499999993</v>
      </c>
      <c r="L201" s="207">
        <f t="shared" si="83"/>
        <v>500000</v>
      </c>
      <c r="M201" s="207">
        <f t="shared" si="83"/>
        <v>500000</v>
      </c>
      <c r="N201" s="207">
        <f t="shared" si="83"/>
        <v>500000</v>
      </c>
      <c r="O201" s="207">
        <f t="shared" si="83"/>
        <v>500000</v>
      </c>
      <c r="P201" s="207">
        <f t="shared" si="83"/>
        <v>500000</v>
      </c>
      <c r="Q201" s="207">
        <f t="shared" si="83"/>
        <v>500000</v>
      </c>
      <c r="R201" s="207">
        <f t="shared" si="83"/>
        <v>500000</v>
      </c>
      <c r="S201" s="207">
        <f t="shared" si="83"/>
        <v>500000</v>
      </c>
      <c r="T201" s="113"/>
    </row>
    <row r="202" spans="1:20" ht="12.75" outlineLevel="2">
      <c r="A202" s="167"/>
      <c r="B202" s="167"/>
      <c r="C202" s="167"/>
      <c r="D202" s="167"/>
      <c r="E202" s="174" t="s">
        <v>317</v>
      </c>
      <c r="F202" s="208" t="s">
        <v>314</v>
      </c>
      <c r="G202" s="209">
        <f t="shared" si="78"/>
        <v>-2940138.69</v>
      </c>
      <c r="H202" s="209">
        <f t="shared" si="79"/>
        <v>3057444.3400000003</v>
      </c>
      <c r="I202" s="210">
        <f t="shared" si="80"/>
        <v>-687861.6700000009</v>
      </c>
      <c r="J202" s="206">
        <f aca="true" t="shared" si="84" ref="J202:S202">+IF(J$212=0,"",J215-I215)</f>
        <v>-4635533.81</v>
      </c>
      <c r="K202" s="207">
        <f t="shared" si="84"/>
        <v>-385000</v>
      </c>
      <c r="L202" s="207">
        <f t="shared" si="84"/>
        <v>0</v>
      </c>
      <c r="M202" s="207">
        <f t="shared" si="84"/>
        <v>0</v>
      </c>
      <c r="N202" s="207">
        <f t="shared" si="84"/>
        <v>0</v>
      </c>
      <c r="O202" s="207">
        <f t="shared" si="84"/>
        <v>0</v>
      </c>
      <c r="P202" s="207">
        <f t="shared" si="84"/>
        <v>0</v>
      </c>
      <c r="Q202" s="207">
        <f t="shared" si="84"/>
        <v>0</v>
      </c>
      <c r="R202" s="207">
        <f t="shared" si="84"/>
        <v>0</v>
      </c>
      <c r="S202" s="207">
        <f t="shared" si="84"/>
        <v>0</v>
      </c>
      <c r="T202" s="113"/>
    </row>
    <row r="203" spans="1:20" ht="12.75" outlineLevel="2">
      <c r="A203" s="167"/>
      <c r="B203" s="167"/>
      <c r="C203" s="167"/>
      <c r="D203" s="167"/>
      <c r="E203" s="174" t="s">
        <v>318</v>
      </c>
      <c r="F203" s="208" t="s">
        <v>314</v>
      </c>
      <c r="G203" s="209">
        <f t="shared" si="78"/>
        <v>-1629003.4</v>
      </c>
      <c r="H203" s="209">
        <f t="shared" si="79"/>
        <v>2983450.1</v>
      </c>
      <c r="I203" s="210">
        <f t="shared" si="80"/>
        <v>-747749.9900000012</v>
      </c>
      <c r="J203" s="206">
        <f aca="true" t="shared" si="85" ref="J203:S203">+IF(J$212=0,"",J216-I216)</f>
        <v>-4600645.489999999</v>
      </c>
      <c r="K203" s="207">
        <f t="shared" si="85"/>
        <v>-260000</v>
      </c>
      <c r="L203" s="207">
        <f t="shared" si="85"/>
        <v>0</v>
      </c>
      <c r="M203" s="207">
        <f t="shared" si="85"/>
        <v>0</v>
      </c>
      <c r="N203" s="207">
        <f t="shared" si="85"/>
        <v>0</v>
      </c>
      <c r="O203" s="207">
        <f t="shared" si="85"/>
        <v>0</v>
      </c>
      <c r="P203" s="207">
        <f t="shared" si="85"/>
        <v>0</v>
      </c>
      <c r="Q203" s="207">
        <f t="shared" si="85"/>
        <v>0</v>
      </c>
      <c r="R203" s="207">
        <f t="shared" si="85"/>
        <v>0</v>
      </c>
      <c r="S203" s="207">
        <f t="shared" si="85"/>
        <v>0</v>
      </c>
      <c r="T203" s="113"/>
    </row>
    <row r="204" spans="1:20" ht="12.75" outlineLevel="2">
      <c r="A204" s="167"/>
      <c r="B204" s="167"/>
      <c r="C204" s="167"/>
      <c r="D204" s="167"/>
      <c r="E204" s="178" t="s">
        <v>319</v>
      </c>
      <c r="F204" s="211" t="s">
        <v>314</v>
      </c>
      <c r="G204" s="212">
        <f t="shared" si="78"/>
        <v>-1311135.29</v>
      </c>
      <c r="H204" s="212">
        <f t="shared" si="79"/>
        <v>73994.24</v>
      </c>
      <c r="I204" s="213">
        <f t="shared" si="80"/>
        <v>59888.32000000001</v>
      </c>
      <c r="J204" s="214">
        <f aca="true" t="shared" si="86" ref="J204:S204">+IF(J$212=0,"",J217-I217)</f>
        <v>-34888.32000000001</v>
      </c>
      <c r="K204" s="215">
        <f t="shared" si="86"/>
        <v>-125000</v>
      </c>
      <c r="L204" s="215">
        <f t="shared" si="86"/>
        <v>0</v>
      </c>
      <c r="M204" s="215">
        <f t="shared" si="86"/>
        <v>0</v>
      </c>
      <c r="N204" s="215">
        <f t="shared" si="86"/>
        <v>0</v>
      </c>
      <c r="O204" s="215">
        <f t="shared" si="86"/>
        <v>0</v>
      </c>
      <c r="P204" s="215">
        <f t="shared" si="86"/>
        <v>0</v>
      </c>
      <c r="Q204" s="215">
        <f t="shared" si="86"/>
        <v>0</v>
      </c>
      <c r="R204" s="215">
        <f t="shared" si="86"/>
        <v>0</v>
      </c>
      <c r="S204" s="215">
        <f t="shared" si="86"/>
        <v>0</v>
      </c>
      <c r="T204" s="113"/>
    </row>
    <row r="205" spans="1:20" ht="12.75" outlineLevel="2">
      <c r="A205" s="160"/>
      <c r="B205" s="160"/>
      <c r="C205" s="160"/>
      <c r="D205" s="160"/>
      <c r="E205" s="161" t="s">
        <v>30</v>
      </c>
      <c r="F205" s="198" t="s">
        <v>314</v>
      </c>
      <c r="G205" s="199">
        <f aca="true" t="shared" si="87" ref="G205:G210">+IF(G$218=0,"",G218-F218)</f>
        <v>-3572131.7700000033</v>
      </c>
      <c r="H205" s="199">
        <f aca="true" t="shared" si="88" ref="H205:H210">+IF(H$218=0,"",H218-G218)</f>
        <v>9458456.93</v>
      </c>
      <c r="I205" s="200">
        <f aca="true" t="shared" si="89" ref="I205:I210">+IF(I$218=0,"",I218-H218)</f>
        <v>-4111034.670000002</v>
      </c>
      <c r="J205" s="201">
        <f aca="true" t="shared" si="90" ref="J205:J210">+IF(J$218=0,"",J218-I218)</f>
        <v>-1833763.75</v>
      </c>
      <c r="K205" s="202">
        <f aca="true" t="shared" si="91" ref="K205:S205">+IF(K$218=0,"",K218-J218)</f>
        <v>-5128267.729999997</v>
      </c>
      <c r="L205" s="202">
        <f t="shared" si="91"/>
        <v>-272594.7100000009</v>
      </c>
      <c r="M205" s="202">
        <f t="shared" si="91"/>
        <v>350000</v>
      </c>
      <c r="N205" s="202">
        <f t="shared" si="91"/>
        <v>300000</v>
      </c>
      <c r="O205" s="202">
        <f t="shared" si="91"/>
        <v>600000</v>
      </c>
      <c r="P205" s="202">
        <f t="shared" si="91"/>
        <v>600000</v>
      </c>
      <c r="Q205" s="202">
        <f t="shared" si="91"/>
        <v>500000</v>
      </c>
      <c r="R205" s="202">
        <f t="shared" si="91"/>
        <v>1500000</v>
      </c>
      <c r="S205" s="202">
        <f t="shared" si="91"/>
        <v>446631.83999999985</v>
      </c>
      <c r="T205" s="136"/>
    </row>
    <row r="206" spans="1:20" ht="12.75" outlineLevel="2">
      <c r="A206" s="167"/>
      <c r="B206" s="167"/>
      <c r="C206" s="167"/>
      <c r="D206" s="167"/>
      <c r="E206" s="184" t="s">
        <v>320</v>
      </c>
      <c r="F206" s="208" t="s">
        <v>314</v>
      </c>
      <c r="G206" s="209">
        <f t="shared" si="87"/>
        <v>-3572131.7700000033</v>
      </c>
      <c r="H206" s="209">
        <f t="shared" si="88"/>
        <v>9458456.93</v>
      </c>
      <c r="I206" s="210">
        <f t="shared" si="89"/>
        <v>-4111034.670000002</v>
      </c>
      <c r="J206" s="206">
        <f t="shared" si="90"/>
        <v>-4311426.859999999</v>
      </c>
      <c r="K206" s="207">
        <f aca="true" t="shared" si="92" ref="K206:S206">+IF(K$218=0,"",K219-J219)</f>
        <v>-2912739.769999996</v>
      </c>
      <c r="L206" s="207">
        <f t="shared" si="92"/>
        <v>-10459.560000002384</v>
      </c>
      <c r="M206" s="207">
        <f t="shared" si="92"/>
        <v>350000</v>
      </c>
      <c r="N206" s="207">
        <f t="shared" si="92"/>
        <v>300000</v>
      </c>
      <c r="O206" s="207">
        <f t="shared" si="92"/>
        <v>600000</v>
      </c>
      <c r="P206" s="207">
        <f t="shared" si="92"/>
        <v>600000</v>
      </c>
      <c r="Q206" s="207">
        <f t="shared" si="92"/>
        <v>500000</v>
      </c>
      <c r="R206" s="207">
        <f t="shared" si="92"/>
        <v>1500000</v>
      </c>
      <c r="S206" s="207">
        <f t="shared" si="92"/>
        <v>446631.83999999985</v>
      </c>
      <c r="T206" s="113"/>
    </row>
    <row r="207" spans="1:20" ht="12.75" outlineLevel="2">
      <c r="A207" s="160"/>
      <c r="B207" s="160"/>
      <c r="C207" s="160"/>
      <c r="D207" s="160"/>
      <c r="E207" s="185" t="s">
        <v>321</v>
      </c>
      <c r="F207" s="216" t="s">
        <v>314</v>
      </c>
      <c r="G207" s="217">
        <f t="shared" si="87"/>
        <v>921571.6700000018</v>
      </c>
      <c r="H207" s="217">
        <f t="shared" si="88"/>
        <v>3089246.8000000007</v>
      </c>
      <c r="I207" s="218">
        <f t="shared" si="89"/>
        <v>-2433470.1400000006</v>
      </c>
      <c r="J207" s="219">
        <f t="shared" si="90"/>
        <v>622544.8599999994</v>
      </c>
      <c r="K207" s="220">
        <f aca="true" t="shared" si="93" ref="K207:S207">+IF(K$218=0,"",K220-J220)</f>
        <v>-528640.0100000016</v>
      </c>
      <c r="L207" s="220">
        <f t="shared" si="93"/>
        <v>271064.8500000015</v>
      </c>
      <c r="M207" s="220">
        <f t="shared" si="93"/>
        <v>270000</v>
      </c>
      <c r="N207" s="220">
        <f t="shared" si="93"/>
        <v>370000</v>
      </c>
      <c r="O207" s="220">
        <f t="shared" si="93"/>
        <v>440000</v>
      </c>
      <c r="P207" s="220">
        <f t="shared" si="93"/>
        <v>440000</v>
      </c>
      <c r="Q207" s="220">
        <f t="shared" si="93"/>
        <v>470000</v>
      </c>
      <c r="R207" s="220">
        <f t="shared" si="93"/>
        <v>470000</v>
      </c>
      <c r="S207" s="220">
        <f t="shared" si="93"/>
        <v>450000</v>
      </c>
      <c r="T207" s="136"/>
    </row>
    <row r="208" spans="1:20" ht="12.75" outlineLevel="2">
      <c r="A208" s="167"/>
      <c r="B208" s="167"/>
      <c r="C208" s="167"/>
      <c r="D208" s="167"/>
      <c r="E208" s="174" t="s">
        <v>322</v>
      </c>
      <c r="F208" s="208" t="s">
        <v>314</v>
      </c>
      <c r="G208" s="209">
        <f t="shared" si="87"/>
        <v>921571.6700000018</v>
      </c>
      <c r="H208" s="209">
        <f t="shared" si="88"/>
        <v>3089246.8000000007</v>
      </c>
      <c r="I208" s="210">
        <f t="shared" si="89"/>
        <v>-2433470.1400000006</v>
      </c>
      <c r="J208" s="206">
        <f t="shared" si="90"/>
        <v>-1120103.3399999999</v>
      </c>
      <c r="K208" s="207">
        <f aca="true" t="shared" si="94" ref="K208:S208">+IF(K$218=0,"",K221-J221)</f>
        <v>951873.0399999991</v>
      </c>
      <c r="L208" s="207">
        <f t="shared" si="94"/>
        <v>533200</v>
      </c>
      <c r="M208" s="207">
        <f t="shared" si="94"/>
        <v>270000</v>
      </c>
      <c r="N208" s="207">
        <f t="shared" si="94"/>
        <v>370000</v>
      </c>
      <c r="O208" s="207">
        <f t="shared" si="94"/>
        <v>440000</v>
      </c>
      <c r="P208" s="207">
        <f t="shared" si="94"/>
        <v>440000</v>
      </c>
      <c r="Q208" s="207">
        <f t="shared" si="94"/>
        <v>470000</v>
      </c>
      <c r="R208" s="207">
        <f t="shared" si="94"/>
        <v>470000</v>
      </c>
      <c r="S208" s="207">
        <f t="shared" si="94"/>
        <v>450000</v>
      </c>
      <c r="T208" s="113"/>
    </row>
    <row r="209" spans="1:20" ht="12.75" outlineLevel="2">
      <c r="A209" s="167"/>
      <c r="B209" s="167"/>
      <c r="C209" s="167"/>
      <c r="D209" s="167"/>
      <c r="E209" s="174" t="s">
        <v>323</v>
      </c>
      <c r="F209" s="208" t="s">
        <v>314</v>
      </c>
      <c r="G209" s="209">
        <f t="shared" si="87"/>
        <v>-10915139.42</v>
      </c>
      <c r="H209" s="209">
        <f t="shared" si="88"/>
        <v>12203062</v>
      </c>
      <c r="I209" s="210">
        <f t="shared" si="89"/>
        <v>-196235.99000000022</v>
      </c>
      <c r="J209" s="206">
        <f t="shared" si="90"/>
        <v>428912.9900000002</v>
      </c>
      <c r="K209" s="207">
        <f aca="true" t="shared" si="95" ref="K209:S209">+IF(K$218=0,"",K222-J222)</f>
        <v>-35739</v>
      </c>
      <c r="L209" s="207">
        <f t="shared" si="95"/>
        <v>400000</v>
      </c>
      <c r="M209" s="207">
        <f t="shared" si="95"/>
        <v>200000</v>
      </c>
      <c r="N209" s="207">
        <f t="shared" si="95"/>
        <v>200000</v>
      </c>
      <c r="O209" s="207">
        <f t="shared" si="95"/>
        <v>200000</v>
      </c>
      <c r="P209" s="207">
        <f t="shared" si="95"/>
        <v>200000</v>
      </c>
      <c r="Q209" s="207">
        <f t="shared" si="95"/>
        <v>200000</v>
      </c>
      <c r="R209" s="207">
        <f t="shared" si="95"/>
        <v>200000</v>
      </c>
      <c r="S209" s="207">
        <f t="shared" si="95"/>
        <v>251000</v>
      </c>
      <c r="T209" s="113"/>
    </row>
    <row r="210" spans="1:20" ht="12.75" outlineLevel="2">
      <c r="A210" s="167"/>
      <c r="B210" s="167"/>
      <c r="C210" s="167"/>
      <c r="D210" s="167"/>
      <c r="E210" s="178" t="s">
        <v>324</v>
      </c>
      <c r="F210" s="211" t="s">
        <v>314</v>
      </c>
      <c r="G210" s="212">
        <f t="shared" si="87"/>
        <v>11545373.000000002</v>
      </c>
      <c r="H210" s="212">
        <f t="shared" si="88"/>
        <v>-9292825.559999999</v>
      </c>
      <c r="I210" s="213">
        <f t="shared" si="89"/>
        <v>-2093993.7200000007</v>
      </c>
      <c r="J210" s="214">
        <f t="shared" si="90"/>
        <v>-13987044.72</v>
      </c>
      <c r="K210" s="215">
        <f aca="true" t="shared" si="96" ref="K210:S210">+IF(K$218=0,"",K223-J223)</f>
        <v>13618935.149999999</v>
      </c>
      <c r="L210" s="215">
        <f t="shared" si="96"/>
        <v>-28935.14999999851</v>
      </c>
      <c r="M210" s="215">
        <f t="shared" si="96"/>
        <v>300000</v>
      </c>
      <c r="N210" s="215">
        <f t="shared" si="96"/>
        <v>300000</v>
      </c>
      <c r="O210" s="215">
        <f t="shared" si="96"/>
        <v>300000</v>
      </c>
      <c r="P210" s="215">
        <f t="shared" si="96"/>
        <v>300000</v>
      </c>
      <c r="Q210" s="215">
        <f t="shared" si="96"/>
        <v>300000</v>
      </c>
      <c r="R210" s="215">
        <f t="shared" si="96"/>
        <v>309000</v>
      </c>
      <c r="S210" s="215">
        <f t="shared" si="96"/>
        <v>291000</v>
      </c>
      <c r="T210" s="113"/>
    </row>
    <row r="211" spans="1:20" ht="12.75" outlineLevel="1">
      <c r="A211" s="167"/>
      <c r="B211" s="167"/>
      <c r="C211" s="167"/>
      <c r="D211" s="167"/>
      <c r="E211" s="136" t="s">
        <v>326</v>
      </c>
      <c r="F211" s="196"/>
      <c r="G211" s="196"/>
      <c r="H211" s="196"/>
      <c r="I211" s="196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13"/>
    </row>
    <row r="212" spans="1:20" ht="12.75" outlineLevel="2">
      <c r="A212" s="160"/>
      <c r="B212" s="160"/>
      <c r="C212" s="160"/>
      <c r="D212" s="160"/>
      <c r="E212" s="161" t="s">
        <v>9</v>
      </c>
      <c r="F212" s="221">
        <f>+F3</f>
        <v>31484876.01</v>
      </c>
      <c r="G212" s="222">
        <f>+G3</f>
        <v>31063442.33</v>
      </c>
      <c r="H212" s="222">
        <f>+H3</f>
        <v>35624119.93</v>
      </c>
      <c r="I212" s="223">
        <f>+I3</f>
        <v>34438420.27</v>
      </c>
      <c r="J212" s="201">
        <f aca="true" t="shared" si="97" ref="J212:S212">+J3</f>
        <v>31943451.22</v>
      </c>
      <c r="K212" s="202">
        <f t="shared" si="97"/>
        <v>30722594.71</v>
      </c>
      <c r="L212" s="202">
        <f t="shared" si="97"/>
        <v>31000000</v>
      </c>
      <c r="M212" s="202">
        <f t="shared" si="97"/>
        <v>31500000</v>
      </c>
      <c r="N212" s="202">
        <f t="shared" si="97"/>
        <v>32000000</v>
      </c>
      <c r="O212" s="202">
        <f t="shared" si="97"/>
        <v>32500000</v>
      </c>
      <c r="P212" s="202">
        <f t="shared" si="97"/>
        <v>33000000</v>
      </c>
      <c r="Q212" s="202">
        <f t="shared" si="97"/>
        <v>33500000</v>
      </c>
      <c r="R212" s="202">
        <f t="shared" si="97"/>
        <v>34000000</v>
      </c>
      <c r="S212" s="202">
        <f t="shared" si="97"/>
        <v>34500000</v>
      </c>
      <c r="T212" s="136"/>
    </row>
    <row r="213" spans="1:20" ht="12.75" outlineLevel="2">
      <c r="A213" s="167"/>
      <c r="B213" s="167"/>
      <c r="C213" s="167"/>
      <c r="D213" s="167"/>
      <c r="E213" s="168" t="s">
        <v>315</v>
      </c>
      <c r="F213" s="224">
        <f>+(F3-F70-F73)</f>
        <v>31484876.01</v>
      </c>
      <c r="G213" s="225">
        <f>+(G3-G70-G73)</f>
        <v>31063442.33</v>
      </c>
      <c r="H213" s="225">
        <f>+(H3-H70-H73)</f>
        <v>35624119.93</v>
      </c>
      <c r="I213" s="226">
        <f>+(I3-I70-I73)</f>
        <v>33507029.880000003</v>
      </c>
      <c r="J213" s="206">
        <f>+(J3-J70-J73)</f>
        <v>29910421.049999997</v>
      </c>
      <c r="K213" s="207">
        <f aca="true" t="shared" si="98" ref="K213:S213">+(K3-K70-K73)</f>
        <v>30500000</v>
      </c>
      <c r="L213" s="207">
        <f t="shared" si="98"/>
        <v>31000000</v>
      </c>
      <c r="M213" s="207">
        <f t="shared" si="98"/>
        <v>31500000</v>
      </c>
      <c r="N213" s="207">
        <f t="shared" si="98"/>
        <v>32000000</v>
      </c>
      <c r="O213" s="207">
        <f t="shared" si="98"/>
        <v>32500000</v>
      </c>
      <c r="P213" s="207">
        <f t="shared" si="98"/>
        <v>33000000</v>
      </c>
      <c r="Q213" s="207">
        <f t="shared" si="98"/>
        <v>33500000</v>
      </c>
      <c r="R213" s="207">
        <f t="shared" si="98"/>
        <v>34000000</v>
      </c>
      <c r="S213" s="207">
        <f t="shared" si="98"/>
        <v>34500000</v>
      </c>
      <c r="T213" s="113"/>
    </row>
    <row r="214" spans="1:20" ht="12.75" outlineLevel="2">
      <c r="A214" s="167"/>
      <c r="B214" s="167"/>
      <c r="C214" s="167"/>
      <c r="D214" s="167"/>
      <c r="E214" s="174" t="s">
        <v>316</v>
      </c>
      <c r="F214" s="224">
        <f>+F4-F70</f>
        <v>25893786.18</v>
      </c>
      <c r="G214" s="225">
        <f>+G4-G70</f>
        <v>28412491.19</v>
      </c>
      <c r="H214" s="225">
        <f>+H4-H70</f>
        <v>29915724.45</v>
      </c>
      <c r="I214" s="226">
        <f>+I4-I70</f>
        <v>28486496.07</v>
      </c>
      <c r="J214" s="206">
        <f>+J4-J70</f>
        <v>29525421.05</v>
      </c>
      <c r="K214" s="207">
        <f aca="true" t="shared" si="99" ref="K214:S214">+K4-K70</f>
        <v>30500000</v>
      </c>
      <c r="L214" s="207">
        <f t="shared" si="99"/>
        <v>31000000</v>
      </c>
      <c r="M214" s="207">
        <f t="shared" si="99"/>
        <v>31500000</v>
      </c>
      <c r="N214" s="207">
        <f t="shared" si="99"/>
        <v>32000000</v>
      </c>
      <c r="O214" s="207">
        <f t="shared" si="99"/>
        <v>32500000</v>
      </c>
      <c r="P214" s="207">
        <f t="shared" si="99"/>
        <v>33000000</v>
      </c>
      <c r="Q214" s="207">
        <f t="shared" si="99"/>
        <v>33500000</v>
      </c>
      <c r="R214" s="207">
        <f t="shared" si="99"/>
        <v>34000000</v>
      </c>
      <c r="S214" s="207">
        <f t="shared" si="99"/>
        <v>34500000</v>
      </c>
      <c r="T214" s="113"/>
    </row>
    <row r="215" spans="1:20" ht="12.75" outlineLevel="2">
      <c r="A215" s="167"/>
      <c r="B215" s="167"/>
      <c r="C215" s="167"/>
      <c r="D215" s="167"/>
      <c r="E215" s="174" t="s">
        <v>317</v>
      </c>
      <c r="F215" s="224">
        <f>+F11-F73</f>
        <v>5591089.83</v>
      </c>
      <c r="G215" s="225">
        <f>+G11-G73</f>
        <v>2650951.14</v>
      </c>
      <c r="H215" s="225">
        <f>+H11-H73</f>
        <v>5708395.48</v>
      </c>
      <c r="I215" s="226">
        <f>+I11-I73</f>
        <v>5020533.81</v>
      </c>
      <c r="J215" s="206">
        <f>+J11-J73</f>
        <v>385000</v>
      </c>
      <c r="K215" s="207">
        <f aca="true" t="shared" si="100" ref="K215:S215">+K11-K73</f>
        <v>0</v>
      </c>
      <c r="L215" s="207">
        <f t="shared" si="100"/>
        <v>0</v>
      </c>
      <c r="M215" s="207">
        <f t="shared" si="100"/>
        <v>0</v>
      </c>
      <c r="N215" s="207">
        <f t="shared" si="100"/>
        <v>0</v>
      </c>
      <c r="O215" s="207">
        <f t="shared" si="100"/>
        <v>0</v>
      </c>
      <c r="P215" s="207">
        <f t="shared" si="100"/>
        <v>0</v>
      </c>
      <c r="Q215" s="207">
        <f t="shared" si="100"/>
        <v>0</v>
      </c>
      <c r="R215" s="207">
        <f t="shared" si="100"/>
        <v>0</v>
      </c>
      <c r="S215" s="207">
        <f t="shared" si="100"/>
        <v>0</v>
      </c>
      <c r="T215" s="113"/>
    </row>
    <row r="216" spans="1:20" ht="12.75" outlineLevel="2">
      <c r="A216" s="167"/>
      <c r="B216" s="167"/>
      <c r="C216" s="167"/>
      <c r="D216" s="167"/>
      <c r="E216" s="174" t="s">
        <v>318</v>
      </c>
      <c r="F216" s="224">
        <f>+F11-F73-F12</f>
        <v>4253948.78</v>
      </c>
      <c r="G216" s="225">
        <f>+G11-G73-G12</f>
        <v>2624945.3800000004</v>
      </c>
      <c r="H216" s="225">
        <f>+H11-H73-H12</f>
        <v>5608395.48</v>
      </c>
      <c r="I216" s="226">
        <f>+I11-I73-I12</f>
        <v>4860645.489999999</v>
      </c>
      <c r="J216" s="206">
        <f>+J11-J73-J12</f>
        <v>260000</v>
      </c>
      <c r="K216" s="207">
        <f aca="true" t="shared" si="101" ref="K216:S216">+K11-K73-K12</f>
        <v>0</v>
      </c>
      <c r="L216" s="207">
        <f t="shared" si="101"/>
        <v>0</v>
      </c>
      <c r="M216" s="207">
        <f t="shared" si="101"/>
        <v>0</v>
      </c>
      <c r="N216" s="207">
        <f t="shared" si="101"/>
        <v>0</v>
      </c>
      <c r="O216" s="207">
        <f t="shared" si="101"/>
        <v>0</v>
      </c>
      <c r="P216" s="207">
        <f t="shared" si="101"/>
        <v>0</v>
      </c>
      <c r="Q216" s="207">
        <f t="shared" si="101"/>
        <v>0</v>
      </c>
      <c r="R216" s="207">
        <f t="shared" si="101"/>
        <v>0</v>
      </c>
      <c r="S216" s="207">
        <f t="shared" si="101"/>
        <v>0</v>
      </c>
      <c r="T216" s="113"/>
    </row>
    <row r="217" spans="1:20" ht="12.75" outlineLevel="2">
      <c r="A217" s="167"/>
      <c r="B217" s="167"/>
      <c r="C217" s="167"/>
      <c r="D217" s="167"/>
      <c r="E217" s="178" t="s">
        <v>319</v>
      </c>
      <c r="F217" s="227">
        <f>+F12</f>
        <v>1337141.05</v>
      </c>
      <c r="G217" s="228">
        <f>+G12</f>
        <v>26005.76</v>
      </c>
      <c r="H217" s="228">
        <f>+H12</f>
        <v>100000</v>
      </c>
      <c r="I217" s="229">
        <f>+I12</f>
        <v>159888.32</v>
      </c>
      <c r="J217" s="214">
        <f>+J12</f>
        <v>125000</v>
      </c>
      <c r="K217" s="215">
        <f aca="true" t="shared" si="102" ref="K217:S217">+K12</f>
        <v>0</v>
      </c>
      <c r="L217" s="215">
        <f t="shared" si="102"/>
        <v>0</v>
      </c>
      <c r="M217" s="215">
        <f t="shared" si="102"/>
        <v>0</v>
      </c>
      <c r="N217" s="215">
        <f t="shared" si="102"/>
        <v>0</v>
      </c>
      <c r="O217" s="215">
        <f t="shared" si="102"/>
        <v>0</v>
      </c>
      <c r="P217" s="215">
        <f t="shared" si="102"/>
        <v>0</v>
      </c>
      <c r="Q217" s="215">
        <f t="shared" si="102"/>
        <v>0</v>
      </c>
      <c r="R217" s="215">
        <f t="shared" si="102"/>
        <v>0</v>
      </c>
      <c r="S217" s="215">
        <f t="shared" si="102"/>
        <v>0</v>
      </c>
      <c r="T217" s="113"/>
    </row>
    <row r="218" spans="1:20" ht="12.75" outlineLevel="2">
      <c r="A218" s="160"/>
      <c r="B218" s="160"/>
      <c r="C218" s="160"/>
      <c r="D218" s="160"/>
      <c r="E218" s="161" t="s">
        <v>30</v>
      </c>
      <c r="F218" s="221">
        <f>+F14</f>
        <v>34609335.7</v>
      </c>
      <c r="G218" s="222">
        <f>+G14</f>
        <v>31037203.93</v>
      </c>
      <c r="H218" s="222">
        <f>+H14</f>
        <v>40495660.86</v>
      </c>
      <c r="I218" s="223">
        <f>+I14</f>
        <v>36384626.19</v>
      </c>
      <c r="J218" s="201">
        <f>+J14</f>
        <v>34550862.44</v>
      </c>
      <c r="K218" s="202">
        <f aca="true" t="shared" si="103" ref="K218:S218">+K14</f>
        <v>29422594.71</v>
      </c>
      <c r="L218" s="202">
        <f t="shared" si="103"/>
        <v>29150000</v>
      </c>
      <c r="M218" s="202">
        <f t="shared" si="103"/>
        <v>29500000</v>
      </c>
      <c r="N218" s="202">
        <f t="shared" si="103"/>
        <v>29800000</v>
      </c>
      <c r="O218" s="202">
        <f t="shared" si="103"/>
        <v>30400000</v>
      </c>
      <c r="P218" s="202">
        <f t="shared" si="103"/>
        <v>31000000</v>
      </c>
      <c r="Q218" s="202">
        <f t="shared" si="103"/>
        <v>31500000</v>
      </c>
      <c r="R218" s="202">
        <f t="shared" si="103"/>
        <v>33000000</v>
      </c>
      <c r="S218" s="202">
        <f t="shared" si="103"/>
        <v>33446631.84</v>
      </c>
      <c r="T218" s="136"/>
    </row>
    <row r="219" spans="1:20" ht="12.75" outlineLevel="2">
      <c r="A219" s="167"/>
      <c r="B219" s="167"/>
      <c r="C219" s="167"/>
      <c r="D219" s="167"/>
      <c r="E219" s="184" t="s">
        <v>320</v>
      </c>
      <c r="F219" s="224">
        <f>+F14-F76-F79</f>
        <v>34609335.7</v>
      </c>
      <c r="G219" s="225">
        <f>+G14-G76-G79</f>
        <v>31037203.93</v>
      </c>
      <c r="H219" s="225">
        <f>+H14-H76-H79</f>
        <v>40495660.86</v>
      </c>
      <c r="I219" s="226">
        <f>+I14-I76-I79</f>
        <v>36384626.19</v>
      </c>
      <c r="J219" s="206">
        <f>+J14-J76-J79</f>
        <v>32073199.33</v>
      </c>
      <c r="K219" s="207">
        <f aca="true" t="shared" si="104" ref="K219:S219">+K14-K76-K79</f>
        <v>29160459.560000002</v>
      </c>
      <c r="L219" s="207">
        <f t="shared" si="104"/>
        <v>29150000</v>
      </c>
      <c r="M219" s="207">
        <f t="shared" si="104"/>
        <v>29500000</v>
      </c>
      <c r="N219" s="207">
        <f t="shared" si="104"/>
        <v>29800000</v>
      </c>
      <c r="O219" s="207">
        <f t="shared" si="104"/>
        <v>30400000</v>
      </c>
      <c r="P219" s="207">
        <f t="shared" si="104"/>
        <v>31000000</v>
      </c>
      <c r="Q219" s="207">
        <f t="shared" si="104"/>
        <v>31500000</v>
      </c>
      <c r="R219" s="207">
        <f t="shared" si="104"/>
        <v>33000000</v>
      </c>
      <c r="S219" s="207">
        <f t="shared" si="104"/>
        <v>33446631.84</v>
      </c>
      <c r="T219" s="113"/>
    </row>
    <row r="220" spans="1:20" ht="12.75" outlineLevel="2">
      <c r="A220" s="160"/>
      <c r="B220" s="160"/>
      <c r="C220" s="160"/>
      <c r="D220" s="160"/>
      <c r="E220" s="185" t="s">
        <v>321</v>
      </c>
      <c r="F220" s="230">
        <f>+F15</f>
        <v>25207681.97</v>
      </c>
      <c r="G220" s="231">
        <f>+G15</f>
        <v>26129253.64</v>
      </c>
      <c r="H220" s="231">
        <f>+H15</f>
        <v>29218500.44</v>
      </c>
      <c r="I220" s="232">
        <f>+I15</f>
        <v>26785030.3</v>
      </c>
      <c r="J220" s="219">
        <f>+J15</f>
        <v>27407575.16</v>
      </c>
      <c r="K220" s="220">
        <f aca="true" t="shared" si="105" ref="K220:S220">+K15</f>
        <v>26878935.15</v>
      </c>
      <c r="L220" s="220">
        <f t="shared" si="105"/>
        <v>27150000</v>
      </c>
      <c r="M220" s="220">
        <f t="shared" si="105"/>
        <v>27420000</v>
      </c>
      <c r="N220" s="220">
        <f t="shared" si="105"/>
        <v>27790000</v>
      </c>
      <c r="O220" s="220">
        <f t="shared" si="105"/>
        <v>28230000</v>
      </c>
      <c r="P220" s="220">
        <f t="shared" si="105"/>
        <v>28670000</v>
      </c>
      <c r="Q220" s="220">
        <f t="shared" si="105"/>
        <v>29140000</v>
      </c>
      <c r="R220" s="220">
        <f t="shared" si="105"/>
        <v>29610000</v>
      </c>
      <c r="S220" s="220">
        <f t="shared" si="105"/>
        <v>30060000</v>
      </c>
      <c r="T220" s="136"/>
    </row>
    <row r="221" spans="1:20" ht="12.75" outlineLevel="2">
      <c r="A221" s="167"/>
      <c r="B221" s="167"/>
      <c r="C221" s="167"/>
      <c r="D221" s="167"/>
      <c r="E221" s="174" t="s">
        <v>322</v>
      </c>
      <c r="F221" s="224">
        <f>+F15-F76</f>
        <v>25207681.97</v>
      </c>
      <c r="G221" s="225">
        <f>+G15-G76</f>
        <v>26129253.64</v>
      </c>
      <c r="H221" s="225">
        <f>+H15-H76</f>
        <v>29218500.44</v>
      </c>
      <c r="I221" s="226">
        <f>+I15-I76</f>
        <v>26785030.3</v>
      </c>
      <c r="J221" s="206">
        <f>+J15-J76</f>
        <v>25664926.96</v>
      </c>
      <c r="K221" s="207">
        <f aca="true" t="shared" si="106" ref="K221:S221">+K15-K76</f>
        <v>26616800</v>
      </c>
      <c r="L221" s="207">
        <f t="shared" si="106"/>
        <v>27150000</v>
      </c>
      <c r="M221" s="207">
        <f t="shared" si="106"/>
        <v>27420000</v>
      </c>
      <c r="N221" s="207">
        <f t="shared" si="106"/>
        <v>27790000</v>
      </c>
      <c r="O221" s="207">
        <f t="shared" si="106"/>
        <v>28230000</v>
      </c>
      <c r="P221" s="207">
        <f t="shared" si="106"/>
        <v>28670000</v>
      </c>
      <c r="Q221" s="207">
        <f t="shared" si="106"/>
        <v>29140000</v>
      </c>
      <c r="R221" s="207">
        <f t="shared" si="106"/>
        <v>29610000</v>
      </c>
      <c r="S221" s="207">
        <f t="shared" si="106"/>
        <v>30060000</v>
      </c>
      <c r="T221" s="113"/>
    </row>
    <row r="222" spans="1:20" ht="12.75" outlineLevel="2">
      <c r="A222" s="167"/>
      <c r="B222" s="167"/>
      <c r="C222" s="167"/>
      <c r="D222" s="167"/>
      <c r="E222" s="174" t="s">
        <v>323</v>
      </c>
      <c r="F222" s="224">
        <f>+F61</f>
        <v>10915139.42</v>
      </c>
      <c r="G222" s="225">
        <f>+G61</f>
        <v>0</v>
      </c>
      <c r="H222" s="225">
        <f>+H61</f>
        <v>12203062</v>
      </c>
      <c r="I222" s="226">
        <f>+I61</f>
        <v>12006826.01</v>
      </c>
      <c r="J222" s="206">
        <f>+J61</f>
        <v>12435739</v>
      </c>
      <c r="K222" s="207">
        <f aca="true" t="shared" si="107" ref="K222:S222">+K61</f>
        <v>12400000</v>
      </c>
      <c r="L222" s="207">
        <f t="shared" si="107"/>
        <v>12800000</v>
      </c>
      <c r="M222" s="207">
        <f t="shared" si="107"/>
        <v>13000000</v>
      </c>
      <c r="N222" s="207">
        <f t="shared" si="107"/>
        <v>13200000</v>
      </c>
      <c r="O222" s="207">
        <f t="shared" si="107"/>
        <v>13400000</v>
      </c>
      <c r="P222" s="207">
        <f t="shared" si="107"/>
        <v>13600000</v>
      </c>
      <c r="Q222" s="207">
        <f t="shared" si="107"/>
        <v>13800000</v>
      </c>
      <c r="R222" s="207">
        <f t="shared" si="107"/>
        <v>14000000</v>
      </c>
      <c r="S222" s="207">
        <f t="shared" si="107"/>
        <v>14251000</v>
      </c>
      <c r="T222" s="113"/>
    </row>
    <row r="223" spans="1:20" ht="12.75" outlineLevel="2">
      <c r="A223" s="167"/>
      <c r="B223" s="167"/>
      <c r="C223" s="167"/>
      <c r="D223" s="167"/>
      <c r="E223" s="178" t="s">
        <v>324</v>
      </c>
      <c r="F223" s="227">
        <f>+F15-F16-F19-F61-F62</f>
        <v>13828490.999999998</v>
      </c>
      <c r="G223" s="228">
        <f>+G15-G16-G19-G61-G62</f>
        <v>25373864</v>
      </c>
      <c r="H223" s="228">
        <f>+H15-H16-H19-H61-H62</f>
        <v>16081038.440000001</v>
      </c>
      <c r="I223" s="229">
        <f>+I15-I16-I19-I61-I62</f>
        <v>13987044.72</v>
      </c>
      <c r="J223" s="214">
        <f>+J15-J16-J19-J61-J62</f>
        <v>0</v>
      </c>
      <c r="K223" s="215">
        <f aca="true" t="shared" si="108" ref="K223:S223">+K15-K16-K19-K61-K62</f>
        <v>13618935.149999999</v>
      </c>
      <c r="L223" s="215">
        <f t="shared" si="108"/>
        <v>13590000</v>
      </c>
      <c r="M223" s="215">
        <f t="shared" si="108"/>
        <v>13890000</v>
      </c>
      <c r="N223" s="215">
        <f t="shared" si="108"/>
        <v>14190000</v>
      </c>
      <c r="O223" s="215">
        <f t="shared" si="108"/>
        <v>14490000</v>
      </c>
      <c r="P223" s="215">
        <f t="shared" si="108"/>
        <v>14790000</v>
      </c>
      <c r="Q223" s="215">
        <f t="shared" si="108"/>
        <v>15090000</v>
      </c>
      <c r="R223" s="215">
        <f t="shared" si="108"/>
        <v>15399000</v>
      </c>
      <c r="S223" s="215">
        <f t="shared" si="108"/>
        <v>15690000</v>
      </c>
      <c r="T223" s="113"/>
    </row>
    <row r="224" spans="5:19" ht="12.75" outlineLevel="2">
      <c r="E224" s="233"/>
      <c r="F224" s="234"/>
      <c r="G224" s="234"/>
      <c r="H224" s="234"/>
      <c r="I224" s="234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</row>
    <row r="225" spans="5:9" ht="12.75" outlineLevel="1">
      <c r="E225" s="136" t="s">
        <v>327</v>
      </c>
      <c r="F225" s="137"/>
      <c r="G225" s="137"/>
      <c r="H225" s="137"/>
      <c r="I225" s="137"/>
    </row>
    <row r="226" spans="1:20" ht="12.75" outlineLevel="2">
      <c r="A226" s="236"/>
      <c r="B226" s="236"/>
      <c r="C226" s="236"/>
      <c r="D226" s="236"/>
      <c r="E226" s="237" t="s">
        <v>9</v>
      </c>
      <c r="F226" s="238" t="s">
        <v>314</v>
      </c>
      <c r="G226" s="239">
        <f aca="true" t="shared" si="109" ref="G226:J227">+IF(F3&lt;&gt;0,G3/F3,"-")</f>
        <v>0.9866147263890717</v>
      </c>
      <c r="H226" s="239">
        <f t="shared" si="109"/>
        <v>1.1468181649525513</v>
      </c>
      <c r="I226" s="240">
        <f t="shared" si="109"/>
        <v>0.9667163802971175</v>
      </c>
      <c r="J226" s="241">
        <f t="shared" si="109"/>
        <v>0.9275527439865346</v>
      </c>
      <c r="K226" s="242">
        <f aca="true" t="shared" si="110" ref="K226:S226">+IF(J3&lt;&gt;0,K3/J3,"-")</f>
        <v>0.9617806948412759</v>
      </c>
      <c r="L226" s="242">
        <f t="shared" si="110"/>
        <v>1.009029357468616</v>
      </c>
      <c r="M226" s="242">
        <f t="shared" si="110"/>
        <v>1.0161290322580645</v>
      </c>
      <c r="N226" s="242">
        <f t="shared" si="110"/>
        <v>1.0158730158730158</v>
      </c>
      <c r="O226" s="242">
        <f t="shared" si="110"/>
        <v>1.015625</v>
      </c>
      <c r="P226" s="242">
        <f t="shared" si="110"/>
        <v>1.0153846153846153</v>
      </c>
      <c r="Q226" s="242">
        <f t="shared" si="110"/>
        <v>1.0151515151515151</v>
      </c>
      <c r="R226" s="242">
        <f t="shared" si="110"/>
        <v>1.0149253731343284</v>
      </c>
      <c r="S226" s="242">
        <f t="shared" si="110"/>
        <v>1.0147058823529411</v>
      </c>
      <c r="T226" s="23"/>
    </row>
    <row r="227" spans="5:19" ht="12.75" outlineLevel="2">
      <c r="E227" s="243" t="s">
        <v>11</v>
      </c>
      <c r="F227" s="244" t="s">
        <v>314</v>
      </c>
      <c r="G227" s="245">
        <f t="shared" si="109"/>
        <v>1.0972706344484073</v>
      </c>
      <c r="H227" s="245">
        <f t="shared" si="109"/>
        <v>1.0529074782618524</v>
      </c>
      <c r="I227" s="246">
        <f t="shared" si="109"/>
        <v>0.9833586517073298</v>
      </c>
      <c r="J227" s="247">
        <f t="shared" si="109"/>
        <v>1.0547479524808798</v>
      </c>
      <c r="K227" s="248">
        <f aca="true" t="shared" si="111" ref="K227:S227">+IF(J4&lt;&gt;0,K4/J4,"-")</f>
        <v>0.9901425709087768</v>
      </c>
      <c r="L227" s="248">
        <f t="shared" si="111"/>
        <v>1.009029357468616</v>
      </c>
      <c r="M227" s="248">
        <f t="shared" si="111"/>
        <v>1.0161290322580645</v>
      </c>
      <c r="N227" s="248">
        <f t="shared" si="111"/>
        <v>1.0158730158730158</v>
      </c>
      <c r="O227" s="248">
        <f t="shared" si="111"/>
        <v>1.015625</v>
      </c>
      <c r="P227" s="248">
        <f t="shared" si="111"/>
        <v>1.0153846153846153</v>
      </c>
      <c r="Q227" s="248">
        <f t="shared" si="111"/>
        <v>1.0151515151515151</v>
      </c>
      <c r="R227" s="248">
        <f t="shared" si="111"/>
        <v>1.0149253731343284</v>
      </c>
      <c r="S227" s="248">
        <f t="shared" si="111"/>
        <v>1.0147058823529411</v>
      </c>
    </row>
    <row r="228" spans="5:19" ht="12.75" outlineLevel="2">
      <c r="E228" s="249" t="s">
        <v>328</v>
      </c>
      <c r="F228" s="250" t="s">
        <v>314</v>
      </c>
      <c r="G228" s="251" t="str">
        <f>+IF((F70)&lt;&gt;0,(G70)/(F70),"-")</f>
        <v>-</v>
      </c>
      <c r="H228" s="251" t="str">
        <f>+IF((G70)&lt;&gt;0,(H70)/(G70),"-")</f>
        <v>-</v>
      </c>
      <c r="I228" s="252" t="str">
        <f>+IF((H70)&lt;&gt;0,(I70)/(H70),"-")</f>
        <v>-</v>
      </c>
      <c r="J228" s="247">
        <f>+IF((I70)&lt;&gt;0,(J70)/(I70),"-")</f>
        <v>1.6137534551972348</v>
      </c>
      <c r="K228" s="248">
        <f aca="true" t="shared" si="112" ref="K228:S228">+IF((J70)&lt;&gt;0,(K70)/(J70),"-")</f>
        <v>0.1480968772998059</v>
      </c>
      <c r="L228" s="248">
        <f t="shared" si="112"/>
        <v>0</v>
      </c>
      <c r="M228" s="248" t="str">
        <f t="shared" si="112"/>
        <v>-</v>
      </c>
      <c r="N228" s="248" t="str">
        <f t="shared" si="112"/>
        <v>-</v>
      </c>
      <c r="O228" s="248" t="str">
        <f t="shared" si="112"/>
        <v>-</v>
      </c>
      <c r="P228" s="248" t="str">
        <f t="shared" si="112"/>
        <v>-</v>
      </c>
      <c r="Q228" s="248" t="str">
        <f t="shared" si="112"/>
        <v>-</v>
      </c>
      <c r="R228" s="248" t="str">
        <f t="shared" si="112"/>
        <v>-</v>
      </c>
      <c r="S228" s="248" t="str">
        <f t="shared" si="112"/>
        <v>-</v>
      </c>
    </row>
    <row r="229" spans="5:19" ht="12.75" outlineLevel="2">
      <c r="E229" s="243" t="s">
        <v>25</v>
      </c>
      <c r="F229" s="244" t="s">
        <v>314</v>
      </c>
      <c r="G229" s="245">
        <f aca="true" t="shared" si="113" ref="G229:J230">+IF(F11&lt;&gt;0,G11/F11,"-")</f>
        <v>0.4741385348122729</v>
      </c>
      <c r="H229" s="245">
        <f t="shared" si="113"/>
        <v>2.1533386239627186</v>
      </c>
      <c r="I229" s="246">
        <f t="shared" si="113"/>
        <v>0.8794999974318526</v>
      </c>
      <c r="J229" s="247">
        <f t="shared" si="113"/>
        <v>0.18225068182540535</v>
      </c>
      <c r="K229" s="248">
        <f aca="true" t="shared" si="114" ref="K229:S229">+IF(J11&lt;&gt;0,K11/J11,"-")</f>
        <v>0</v>
      </c>
      <c r="L229" s="248" t="str">
        <f t="shared" si="114"/>
        <v>-</v>
      </c>
      <c r="M229" s="248" t="str">
        <f t="shared" si="114"/>
        <v>-</v>
      </c>
      <c r="N229" s="248" t="str">
        <f t="shared" si="114"/>
        <v>-</v>
      </c>
      <c r="O229" s="248" t="str">
        <f t="shared" si="114"/>
        <v>-</v>
      </c>
      <c r="P229" s="248" t="str">
        <f t="shared" si="114"/>
        <v>-</v>
      </c>
      <c r="Q229" s="248" t="str">
        <f t="shared" si="114"/>
        <v>-</v>
      </c>
      <c r="R229" s="248" t="str">
        <f t="shared" si="114"/>
        <v>-</v>
      </c>
      <c r="S229" s="248" t="str">
        <f t="shared" si="114"/>
        <v>-</v>
      </c>
    </row>
    <row r="230" spans="5:19" ht="12.75" outlineLevel="2">
      <c r="E230" s="253" t="s">
        <v>27</v>
      </c>
      <c r="F230" s="244" t="s">
        <v>314</v>
      </c>
      <c r="G230" s="245">
        <f t="shared" si="113"/>
        <v>0.01944877842169306</v>
      </c>
      <c r="H230" s="245">
        <f t="shared" si="113"/>
        <v>3.845301963872619</v>
      </c>
      <c r="I230" s="246">
        <f t="shared" si="113"/>
        <v>1.5988832000000002</v>
      </c>
      <c r="J230" s="247">
        <f t="shared" si="113"/>
        <v>0.781795693393989</v>
      </c>
      <c r="K230" s="248">
        <f aca="true" t="shared" si="115" ref="K230:S230">+IF(J12&lt;&gt;0,K12/J12,"-")</f>
        <v>0</v>
      </c>
      <c r="L230" s="248" t="str">
        <f t="shared" si="115"/>
        <v>-</v>
      </c>
      <c r="M230" s="248" t="str">
        <f t="shared" si="115"/>
        <v>-</v>
      </c>
      <c r="N230" s="248" t="str">
        <f t="shared" si="115"/>
        <v>-</v>
      </c>
      <c r="O230" s="248" t="str">
        <f t="shared" si="115"/>
        <v>-</v>
      </c>
      <c r="P230" s="248" t="str">
        <f t="shared" si="115"/>
        <v>-</v>
      </c>
      <c r="Q230" s="248" t="str">
        <f t="shared" si="115"/>
        <v>-</v>
      </c>
      <c r="R230" s="248" t="str">
        <f t="shared" si="115"/>
        <v>-</v>
      </c>
      <c r="S230" s="248" t="str">
        <f t="shared" si="115"/>
        <v>-</v>
      </c>
    </row>
    <row r="231" spans="5:19" ht="12.75" outlineLevel="2">
      <c r="E231" s="254" t="s">
        <v>328</v>
      </c>
      <c r="F231" s="255" t="s">
        <v>314</v>
      </c>
      <c r="G231" s="256" t="str">
        <f>+IF((F73)&lt;&gt;0,(G73)/(F73),"-")</f>
        <v>-</v>
      </c>
      <c r="H231" s="256" t="str">
        <f>+IF((G73)&lt;&gt;0,(H73)/(G73),"-")</f>
        <v>-</v>
      </c>
      <c r="I231" s="257" t="str">
        <f>+IF((H73)&lt;&gt;0,(I73)/(H73),"-")</f>
        <v>-</v>
      </c>
      <c r="J231" s="258" t="str">
        <f>+IF((I73)&lt;&gt;0,(J73)/(I73),"-")</f>
        <v>-</v>
      </c>
      <c r="K231" s="259">
        <f aca="true" t="shared" si="116" ref="K231:S231">+IF((J73)&lt;&gt;0,(K73)/(J73),"-")</f>
        <v>0</v>
      </c>
      <c r="L231" s="259" t="str">
        <f t="shared" si="116"/>
        <v>-</v>
      </c>
      <c r="M231" s="259" t="str">
        <f t="shared" si="116"/>
        <v>-</v>
      </c>
      <c r="N231" s="259" t="str">
        <f t="shared" si="116"/>
        <v>-</v>
      </c>
      <c r="O231" s="259" t="str">
        <f t="shared" si="116"/>
        <v>-</v>
      </c>
      <c r="P231" s="259" t="str">
        <f t="shared" si="116"/>
        <v>-</v>
      </c>
      <c r="Q231" s="259" t="str">
        <f t="shared" si="116"/>
        <v>-</v>
      </c>
      <c r="R231" s="259" t="str">
        <f t="shared" si="116"/>
        <v>-</v>
      </c>
      <c r="S231" s="259" t="str">
        <f t="shared" si="116"/>
        <v>-</v>
      </c>
    </row>
    <row r="232" spans="1:20" ht="12.75" outlineLevel="2">
      <c r="A232" s="236"/>
      <c r="B232" s="236"/>
      <c r="C232" s="236"/>
      <c r="D232" s="236"/>
      <c r="E232" s="237" t="s">
        <v>30</v>
      </c>
      <c r="F232" s="238" t="s">
        <v>314</v>
      </c>
      <c r="G232" s="239">
        <f aca="true" t="shared" si="117" ref="G232:J233">+IF(F14&lt;&gt;0,G14/F14,"-")</f>
        <v>0.8967870461032859</v>
      </c>
      <c r="H232" s="239">
        <f t="shared" si="117"/>
        <v>1.3047457803007063</v>
      </c>
      <c r="I232" s="240">
        <f t="shared" si="117"/>
        <v>0.8984820945579205</v>
      </c>
      <c r="J232" s="241">
        <f t="shared" si="117"/>
        <v>0.9496005884346836</v>
      </c>
      <c r="K232" s="242">
        <f aca="true" t="shared" si="118" ref="K232:S232">+IF(J14&lt;&gt;0,K14/J14,"-")</f>
        <v>0.8515733800015675</v>
      </c>
      <c r="L232" s="242">
        <f t="shared" si="118"/>
        <v>0.9907351913491385</v>
      </c>
      <c r="M232" s="242">
        <f t="shared" si="118"/>
        <v>1.012006861063465</v>
      </c>
      <c r="N232" s="242">
        <f t="shared" si="118"/>
        <v>1.0101694915254238</v>
      </c>
      <c r="O232" s="242">
        <f t="shared" si="118"/>
        <v>1.0201342281879195</v>
      </c>
      <c r="P232" s="242">
        <f t="shared" si="118"/>
        <v>1.019736842105263</v>
      </c>
      <c r="Q232" s="242">
        <f t="shared" si="118"/>
        <v>1.0161290322580645</v>
      </c>
      <c r="R232" s="242">
        <f t="shared" si="118"/>
        <v>1.0476190476190477</v>
      </c>
      <c r="S232" s="242">
        <f t="shared" si="118"/>
        <v>1.0135342981818183</v>
      </c>
      <c r="T232" s="23"/>
    </row>
    <row r="233" spans="5:19" ht="12.75" outlineLevel="2">
      <c r="E233" s="243" t="s">
        <v>32</v>
      </c>
      <c r="F233" s="244" t="s">
        <v>314</v>
      </c>
      <c r="G233" s="245">
        <f t="shared" si="117"/>
        <v>1.0365591596679447</v>
      </c>
      <c r="H233" s="245">
        <f t="shared" si="117"/>
        <v>1.1182294313707768</v>
      </c>
      <c r="I233" s="246">
        <f t="shared" si="117"/>
        <v>0.9167147491022986</v>
      </c>
      <c r="J233" s="247">
        <f t="shared" si="117"/>
        <v>1.0232422682755</v>
      </c>
      <c r="K233" s="248">
        <f aca="true" t="shared" si="119" ref="K233:S233">+IF(J15&lt;&gt;0,K15/J15,"-")</f>
        <v>0.9807119014756356</v>
      </c>
      <c r="L233" s="248">
        <f t="shared" si="119"/>
        <v>1.0100846573157494</v>
      </c>
      <c r="M233" s="248">
        <f t="shared" si="119"/>
        <v>1.0099447513812154</v>
      </c>
      <c r="N233" s="248">
        <f t="shared" si="119"/>
        <v>1.0134938001458789</v>
      </c>
      <c r="O233" s="248">
        <f t="shared" si="119"/>
        <v>1.0158330334652752</v>
      </c>
      <c r="P233" s="248">
        <f t="shared" si="119"/>
        <v>1.0155862557562876</v>
      </c>
      <c r="Q233" s="248">
        <f t="shared" si="119"/>
        <v>1.0163934426229508</v>
      </c>
      <c r="R233" s="248">
        <f t="shared" si="119"/>
        <v>1.0161290322580645</v>
      </c>
      <c r="S233" s="248">
        <f t="shared" si="119"/>
        <v>1.0151975683890577</v>
      </c>
    </row>
    <row r="234" spans="5:19" ht="12.75" outlineLevel="2">
      <c r="E234" s="249" t="s">
        <v>329</v>
      </c>
      <c r="F234" s="244" t="s">
        <v>314</v>
      </c>
      <c r="G234" s="245">
        <f>+IF((F15-F19)&lt;&gt;0,(G15-G19)/(F15-F19),"-")</f>
        <v>1.0254705380456455</v>
      </c>
      <c r="H234" s="245">
        <f>+IF((G15-G19)&lt;&gt;0,(H15-H19)/(G15-G19),"-")</f>
        <v>1.116664787042289</v>
      </c>
      <c r="I234" s="246">
        <f>+IF((H15-H19)&lt;&gt;0,(I15-I19)/(H15-H19),"-")</f>
        <v>0.9174058934761085</v>
      </c>
      <c r="J234" s="247">
        <f>+IF((I15-I19)&lt;&gt;0,(J15-J19)/(I15-I19),"-")</f>
        <v>1.0216860519102844</v>
      </c>
      <c r="K234" s="248">
        <f aca="true" t="shared" si="120" ref="K234:S234">+IF((J15-J19)&lt;&gt;0,(K15-K19)/(J15-J19),"-")</f>
        <v>0.9838599718755346</v>
      </c>
      <c r="L234" s="248">
        <f t="shared" si="120"/>
        <v>1.014201300124548</v>
      </c>
      <c r="M234" s="248">
        <f t="shared" si="120"/>
        <v>1.0188679245283019</v>
      </c>
      <c r="N234" s="248">
        <f t="shared" si="120"/>
        <v>1.0185185185185186</v>
      </c>
      <c r="O234" s="248">
        <f t="shared" si="120"/>
        <v>1.018181818181818</v>
      </c>
      <c r="P234" s="248">
        <f t="shared" si="120"/>
        <v>1.0178571428571428</v>
      </c>
      <c r="Q234" s="248">
        <f t="shared" si="120"/>
        <v>1.0175438596491229</v>
      </c>
      <c r="R234" s="248">
        <f t="shared" si="120"/>
        <v>1.0172413793103448</v>
      </c>
      <c r="S234" s="248">
        <f t="shared" si="120"/>
        <v>1.0169491525423728</v>
      </c>
    </row>
    <row r="235" spans="5:19" ht="12.75" outlineLevel="2">
      <c r="E235" s="249" t="s">
        <v>328</v>
      </c>
      <c r="F235" s="244" t="s">
        <v>314</v>
      </c>
      <c r="G235" s="245" t="str">
        <f>+IF(F76&lt;&gt;0,G76/F76,"-")</f>
        <v>-</v>
      </c>
      <c r="H235" s="245" t="str">
        <f>+IF(G76&lt;&gt;0,H76/G76,"-")</f>
        <v>-</v>
      </c>
      <c r="I235" s="246" t="str">
        <f>+IF(H76&lt;&gt;0,I76/H76,"-")</f>
        <v>-</v>
      </c>
      <c r="J235" s="247" t="str">
        <f>+IF(I76&lt;&gt;0,J76/I76,"-")</f>
        <v>-</v>
      </c>
      <c r="K235" s="248">
        <f aca="true" t="shared" si="121" ref="K235:S235">+IF(J76&lt;&gt;0,K76/J76,"-")</f>
        <v>0.1504234474864175</v>
      </c>
      <c r="L235" s="248">
        <f t="shared" si="121"/>
        <v>0</v>
      </c>
      <c r="M235" s="248" t="str">
        <f t="shared" si="121"/>
        <v>-</v>
      </c>
      <c r="N235" s="248" t="str">
        <f t="shared" si="121"/>
        <v>-</v>
      </c>
      <c r="O235" s="248" t="str">
        <f t="shared" si="121"/>
        <v>-</v>
      </c>
      <c r="P235" s="248" t="str">
        <f t="shared" si="121"/>
        <v>-</v>
      </c>
      <c r="Q235" s="248" t="str">
        <f t="shared" si="121"/>
        <v>-</v>
      </c>
      <c r="R235" s="248" t="str">
        <f t="shared" si="121"/>
        <v>-</v>
      </c>
      <c r="S235" s="248" t="str">
        <f t="shared" si="121"/>
        <v>-</v>
      </c>
    </row>
    <row r="236" spans="5:19" ht="12.75" outlineLevel="2">
      <c r="E236" s="249" t="s">
        <v>34</v>
      </c>
      <c r="F236" s="244" t="s">
        <v>314</v>
      </c>
      <c r="G236" s="245" t="str">
        <f aca="true" t="shared" si="122" ref="G236:J237">+IF(F16&lt;&gt;0,G16/F16,"-")</f>
        <v>-</v>
      </c>
      <c r="H236" s="245" t="str">
        <f t="shared" si="122"/>
        <v>-</v>
      </c>
      <c r="I236" s="246">
        <f t="shared" si="122"/>
        <v>0</v>
      </c>
      <c r="J236" s="247" t="str">
        <f t="shared" si="122"/>
        <v>-</v>
      </c>
      <c r="K236" s="248">
        <f aca="true" t="shared" si="123" ref="K236:S236">+IF(J16&lt;&gt;0,K16/J16,"-")</f>
        <v>1</v>
      </c>
      <c r="L236" s="248">
        <f t="shared" si="123"/>
        <v>1</v>
      </c>
      <c r="M236" s="248">
        <f t="shared" si="123"/>
        <v>1</v>
      </c>
      <c r="N236" s="248">
        <f t="shared" si="123"/>
        <v>1</v>
      </c>
      <c r="O236" s="248">
        <f t="shared" si="123"/>
        <v>1</v>
      </c>
      <c r="P236" s="248">
        <f t="shared" si="123"/>
        <v>1</v>
      </c>
      <c r="Q236" s="248">
        <f t="shared" si="123"/>
        <v>1</v>
      </c>
      <c r="R236" s="248">
        <f t="shared" si="123"/>
        <v>0.9181818181818182</v>
      </c>
      <c r="S236" s="248">
        <f t="shared" si="123"/>
        <v>0.5841584158415841</v>
      </c>
    </row>
    <row r="237" spans="5:19" ht="12.75" outlineLevel="2">
      <c r="E237" s="260" t="s">
        <v>330</v>
      </c>
      <c r="F237" s="244" t="s">
        <v>314</v>
      </c>
      <c r="G237" s="245" t="str">
        <f t="shared" si="122"/>
        <v>-</v>
      </c>
      <c r="H237" s="245" t="str">
        <f t="shared" si="122"/>
        <v>-</v>
      </c>
      <c r="I237" s="246" t="str">
        <f t="shared" si="122"/>
        <v>-</v>
      </c>
      <c r="J237" s="247" t="str">
        <f t="shared" si="122"/>
        <v>-</v>
      </c>
      <c r="K237" s="248" t="str">
        <f aca="true" t="shared" si="124" ref="K237:S237">+IF(J17&lt;&gt;0,K17/J17,"-")</f>
        <v>-</v>
      </c>
      <c r="L237" s="248" t="str">
        <f t="shared" si="124"/>
        <v>-</v>
      </c>
      <c r="M237" s="248" t="str">
        <f t="shared" si="124"/>
        <v>-</v>
      </c>
      <c r="N237" s="248" t="str">
        <f t="shared" si="124"/>
        <v>-</v>
      </c>
      <c r="O237" s="248" t="str">
        <f t="shared" si="124"/>
        <v>-</v>
      </c>
      <c r="P237" s="248" t="str">
        <f t="shared" si="124"/>
        <v>-</v>
      </c>
      <c r="Q237" s="248" t="str">
        <f t="shared" si="124"/>
        <v>-</v>
      </c>
      <c r="R237" s="248" t="str">
        <f t="shared" si="124"/>
        <v>-</v>
      </c>
      <c r="S237" s="248" t="str">
        <f t="shared" si="124"/>
        <v>-</v>
      </c>
    </row>
    <row r="238" spans="5:19" ht="12.75" outlineLevel="2">
      <c r="E238" s="249" t="s">
        <v>331</v>
      </c>
      <c r="F238" s="244" t="s">
        <v>314</v>
      </c>
      <c r="G238" s="245">
        <f aca="true" t="shared" si="125" ref="G238:J240">+IF(F19&lt;&gt;0,G19/F19,"-")</f>
        <v>1.627814065053764</v>
      </c>
      <c r="H238" s="245">
        <f t="shared" si="125"/>
        <v>1.1707865095952334</v>
      </c>
      <c r="I238" s="246">
        <f t="shared" si="125"/>
        <v>0.8945721053821799</v>
      </c>
      <c r="J238" s="247">
        <f t="shared" si="125"/>
        <v>1.074372392411306</v>
      </c>
      <c r="K238" s="248">
        <f aca="true" t="shared" si="126" ref="K238:S238">+IF(J19&lt;&gt;0,K19/J19,"-")</f>
        <v>0.8823529411764706</v>
      </c>
      <c r="L238" s="248">
        <f t="shared" si="126"/>
        <v>0.8666666666666667</v>
      </c>
      <c r="M238" s="248">
        <f t="shared" si="126"/>
        <v>0.6461538461538462</v>
      </c>
      <c r="N238" s="248">
        <f t="shared" si="126"/>
        <v>0.6904761904761905</v>
      </c>
      <c r="O238" s="248">
        <f t="shared" si="126"/>
        <v>0.7931034482758621</v>
      </c>
      <c r="P238" s="248">
        <f t="shared" si="126"/>
        <v>0.7391304347826086</v>
      </c>
      <c r="Q238" s="248">
        <f t="shared" si="126"/>
        <v>0.8235294117647058</v>
      </c>
      <c r="R238" s="248">
        <f t="shared" si="126"/>
        <v>0.7857142857142857</v>
      </c>
      <c r="S238" s="248">
        <f t="shared" si="126"/>
        <v>0.5454545454545454</v>
      </c>
    </row>
    <row r="239" spans="5:19" ht="12.75" outlineLevel="2">
      <c r="E239" s="260" t="s">
        <v>332</v>
      </c>
      <c r="F239" s="244" t="s">
        <v>314</v>
      </c>
      <c r="G239" s="245">
        <f t="shared" si="125"/>
        <v>1.627814065053764</v>
      </c>
      <c r="H239" s="245">
        <f t="shared" si="125"/>
        <v>1.1707865095952334</v>
      </c>
      <c r="I239" s="246">
        <f t="shared" si="125"/>
        <v>0.8945721053821799</v>
      </c>
      <c r="J239" s="247">
        <f t="shared" si="125"/>
        <v>1.074372392411306</v>
      </c>
      <c r="K239" s="248">
        <f aca="true" t="shared" si="127" ref="K239:S239">+IF(J20&lt;&gt;0,K20/J20,"-")</f>
        <v>0.8823529411764706</v>
      </c>
      <c r="L239" s="248">
        <f t="shared" si="127"/>
        <v>0.8666666666666667</v>
      </c>
      <c r="M239" s="248">
        <f t="shared" si="127"/>
        <v>0.6461538461538462</v>
      </c>
      <c r="N239" s="248">
        <f t="shared" si="127"/>
        <v>0.6904761904761905</v>
      </c>
      <c r="O239" s="248">
        <f t="shared" si="127"/>
        <v>0.7931034482758621</v>
      </c>
      <c r="P239" s="248">
        <f t="shared" si="127"/>
        <v>0.7391304347826086</v>
      </c>
      <c r="Q239" s="248">
        <f t="shared" si="127"/>
        <v>0.8235294117647058</v>
      </c>
      <c r="R239" s="248">
        <f t="shared" si="127"/>
        <v>0.7857142857142857</v>
      </c>
      <c r="S239" s="248">
        <f t="shared" si="127"/>
        <v>0.5454545454545454</v>
      </c>
    </row>
    <row r="240" spans="5:19" ht="12.75" outlineLevel="2">
      <c r="E240" s="243" t="s">
        <v>333</v>
      </c>
      <c r="F240" s="244" t="s">
        <v>314</v>
      </c>
      <c r="G240" s="245">
        <f t="shared" si="125"/>
        <v>0.5220305311116792</v>
      </c>
      <c r="H240" s="245">
        <f t="shared" si="125"/>
        <v>2.2977332192987636</v>
      </c>
      <c r="I240" s="246">
        <f t="shared" si="125"/>
        <v>0.8512422926054288</v>
      </c>
      <c r="J240" s="247">
        <f t="shared" si="125"/>
        <v>0.7441237487341772</v>
      </c>
      <c r="K240" s="248">
        <f aca="true" t="shared" si="128" ref="K240:S240">+IF(J21&lt;&gt;0,K21/J21,"-")</f>
        <v>0.35609089489118234</v>
      </c>
      <c r="L240" s="248">
        <f t="shared" si="128"/>
        <v>0.7862687410889215</v>
      </c>
      <c r="M240" s="248">
        <f t="shared" si="128"/>
        <v>1.04</v>
      </c>
      <c r="N240" s="248">
        <f t="shared" si="128"/>
        <v>0.9663461538461539</v>
      </c>
      <c r="O240" s="248">
        <f t="shared" si="128"/>
        <v>1.0796019900497513</v>
      </c>
      <c r="P240" s="248">
        <f t="shared" si="128"/>
        <v>1.0737327188940091</v>
      </c>
      <c r="Q240" s="248">
        <f t="shared" si="128"/>
        <v>1.0128755364806867</v>
      </c>
      <c r="R240" s="248">
        <f t="shared" si="128"/>
        <v>1.4364406779661016</v>
      </c>
      <c r="S240" s="248">
        <f t="shared" si="128"/>
        <v>0.9990064424778761</v>
      </c>
    </row>
    <row r="241" spans="5:19" ht="12.75" outlineLevel="2">
      <c r="E241" s="254" t="s">
        <v>328</v>
      </c>
      <c r="F241" s="261" t="s">
        <v>314</v>
      </c>
      <c r="G241" s="262" t="str">
        <f>+IF(F79&lt;&gt;0,G79/F79,"-")</f>
        <v>-</v>
      </c>
      <c r="H241" s="262" t="str">
        <f>+IF(G79&lt;&gt;0,H79/G79,"-")</f>
        <v>-</v>
      </c>
      <c r="I241" s="263" t="str">
        <f>+IF(H79&lt;&gt;0,I79/H79,"-")</f>
        <v>-</v>
      </c>
      <c r="J241" s="258" t="str">
        <f>+IF(I79&lt;&gt;0,J79/I79,"-")</f>
        <v>-</v>
      </c>
      <c r="K241" s="259">
        <f aca="true" t="shared" si="129" ref="K241:S241">+IF(J79&lt;&gt;0,K79/J79,"-")</f>
        <v>0</v>
      </c>
      <c r="L241" s="259" t="str">
        <f t="shared" si="129"/>
        <v>-</v>
      </c>
      <c r="M241" s="259" t="str">
        <f t="shared" si="129"/>
        <v>-</v>
      </c>
      <c r="N241" s="259" t="str">
        <f t="shared" si="129"/>
        <v>-</v>
      </c>
      <c r="O241" s="259" t="str">
        <f t="shared" si="129"/>
        <v>-</v>
      </c>
      <c r="P241" s="259" t="str">
        <f t="shared" si="129"/>
        <v>-</v>
      </c>
      <c r="Q241" s="259" t="str">
        <f t="shared" si="129"/>
        <v>-</v>
      </c>
      <c r="R241" s="259" t="str">
        <f t="shared" si="129"/>
        <v>-</v>
      </c>
      <c r="S241" s="259" t="str">
        <f t="shared" si="129"/>
        <v>-</v>
      </c>
    </row>
    <row r="242" spans="5:19" ht="12.75" outlineLevel="2">
      <c r="E242" s="264" t="s">
        <v>334</v>
      </c>
      <c r="F242" s="265"/>
      <c r="G242" s="265"/>
      <c r="H242" s="265"/>
      <c r="I242" s="265"/>
      <c r="J242" s="266"/>
      <c r="K242" s="267"/>
      <c r="L242" s="267"/>
      <c r="M242" s="267"/>
      <c r="N242" s="267"/>
      <c r="O242" s="267"/>
      <c r="P242" s="267"/>
      <c r="Q242" s="267"/>
      <c r="R242" s="267"/>
      <c r="S242" s="267"/>
    </row>
    <row r="243" spans="5:19" ht="12.75" outlineLevel="2">
      <c r="E243" s="268" t="s">
        <v>335</v>
      </c>
      <c r="F243" s="269" t="str">
        <f aca="true" t="shared" si="130" ref="F243:J244">+IF(E61&lt;&gt;0,F61/E61,"-")</f>
        <v>-</v>
      </c>
      <c r="G243" s="270">
        <f t="shared" si="130"/>
        <v>0</v>
      </c>
      <c r="H243" s="270" t="str">
        <f t="shared" si="130"/>
        <v>-</v>
      </c>
      <c r="I243" s="271">
        <f t="shared" si="130"/>
        <v>0.9839191188244393</v>
      </c>
      <c r="J243" s="272">
        <f t="shared" si="130"/>
        <v>1.035722429028519</v>
      </c>
      <c r="K243" s="273">
        <f aca="true" t="shared" si="131" ref="K243:S243">+IF(J61&lt;&gt;0,K61/J61,"-")</f>
        <v>0.9971261056540347</v>
      </c>
      <c r="L243" s="273">
        <f t="shared" si="131"/>
        <v>1.032258064516129</v>
      </c>
      <c r="M243" s="273">
        <f t="shared" si="131"/>
        <v>1.015625</v>
      </c>
      <c r="N243" s="273">
        <f t="shared" si="131"/>
        <v>1.0153846153846153</v>
      </c>
      <c r="O243" s="273">
        <f t="shared" si="131"/>
        <v>1.0151515151515151</v>
      </c>
      <c r="P243" s="273">
        <f t="shared" si="131"/>
        <v>1.0149253731343284</v>
      </c>
      <c r="Q243" s="273">
        <f t="shared" si="131"/>
        <v>1.0147058823529411</v>
      </c>
      <c r="R243" s="273">
        <f t="shared" si="131"/>
        <v>1.0144927536231885</v>
      </c>
      <c r="S243" s="273">
        <f t="shared" si="131"/>
        <v>1.0179285714285715</v>
      </c>
    </row>
    <row r="244" spans="5:19" ht="12.75" outlineLevel="2">
      <c r="E244" s="243" t="s">
        <v>336</v>
      </c>
      <c r="F244" s="244" t="str">
        <f t="shared" si="130"/>
        <v>-</v>
      </c>
      <c r="G244" s="245" t="str">
        <f t="shared" si="130"/>
        <v>-</v>
      </c>
      <c r="H244" s="245" t="str">
        <f t="shared" si="130"/>
        <v>-</v>
      </c>
      <c r="I244" s="246" t="str">
        <f t="shared" si="130"/>
        <v>-</v>
      </c>
      <c r="J244" s="247" t="str">
        <f t="shared" si="130"/>
        <v>-</v>
      </c>
      <c r="K244" s="248">
        <f aca="true" t="shared" si="132" ref="K244:S244">+IF(J62&lt;&gt;0,K62/J62,"-")</f>
        <v>0</v>
      </c>
      <c r="L244" s="248" t="str">
        <f t="shared" si="132"/>
        <v>-</v>
      </c>
      <c r="M244" s="248" t="str">
        <f t="shared" si="132"/>
        <v>-</v>
      </c>
      <c r="N244" s="248" t="str">
        <f t="shared" si="132"/>
        <v>-</v>
      </c>
      <c r="O244" s="248" t="str">
        <f t="shared" si="132"/>
        <v>-</v>
      </c>
      <c r="P244" s="248" t="str">
        <f t="shared" si="132"/>
        <v>-</v>
      </c>
      <c r="Q244" s="248" t="str">
        <f t="shared" si="132"/>
        <v>-</v>
      </c>
      <c r="R244" s="248" t="str">
        <f t="shared" si="132"/>
        <v>-</v>
      </c>
      <c r="S244" s="248" t="str">
        <f t="shared" si="132"/>
        <v>-</v>
      </c>
    </row>
    <row r="245" spans="5:19" ht="12.75" outlineLevel="2">
      <c r="E245" s="243" t="s">
        <v>337</v>
      </c>
      <c r="F245" s="244" t="str">
        <f aca="true" t="shared" si="133" ref="F245:J246">+IF(E64&lt;&gt;0,F64/E64,"-")</f>
        <v>-</v>
      </c>
      <c r="G245" s="245" t="str">
        <f t="shared" si="133"/>
        <v>-</v>
      </c>
      <c r="H245" s="245" t="str">
        <f t="shared" si="133"/>
        <v>-</v>
      </c>
      <c r="I245" s="246">
        <f t="shared" si="133"/>
        <v>0</v>
      </c>
      <c r="J245" s="247" t="str">
        <f t="shared" si="133"/>
        <v>-</v>
      </c>
      <c r="K245" s="248">
        <f aca="true" t="shared" si="134" ref="K245:S245">+IF(J64&lt;&gt;0,K64/J64,"-")</f>
        <v>0.5493945306836845</v>
      </c>
      <c r="L245" s="248">
        <f t="shared" si="134"/>
        <v>0.3231824885753496</v>
      </c>
      <c r="M245" s="248">
        <f t="shared" si="134"/>
        <v>0.0003127568725251018</v>
      </c>
      <c r="N245" s="248">
        <f t="shared" si="134"/>
        <v>1</v>
      </c>
      <c r="O245" s="248">
        <f t="shared" si="134"/>
        <v>1</v>
      </c>
      <c r="P245" s="248">
        <f t="shared" si="134"/>
        <v>1</v>
      </c>
      <c r="Q245" s="248">
        <f t="shared" si="134"/>
        <v>0.35714285714285715</v>
      </c>
      <c r="R245" s="248">
        <f t="shared" si="134"/>
        <v>0</v>
      </c>
      <c r="S245" s="248" t="str">
        <f t="shared" si="134"/>
        <v>-</v>
      </c>
    </row>
    <row r="246" spans="5:19" ht="12.75" outlineLevel="2">
      <c r="E246" s="274" t="s">
        <v>338</v>
      </c>
      <c r="F246" s="261" t="str">
        <f t="shared" si="133"/>
        <v>-</v>
      </c>
      <c r="G246" s="262" t="str">
        <f t="shared" si="133"/>
        <v>-</v>
      </c>
      <c r="H246" s="262" t="str">
        <f t="shared" si="133"/>
        <v>-</v>
      </c>
      <c r="I246" s="263">
        <f t="shared" si="133"/>
        <v>0</v>
      </c>
      <c r="J246" s="258" t="str">
        <f t="shared" si="133"/>
        <v>-</v>
      </c>
      <c r="K246" s="259">
        <f aca="true" t="shared" si="135" ref="K246:S246">+IF(J65&lt;&gt;0,K65/J65,"-")</f>
        <v>0.3374982890471905</v>
      </c>
      <c r="L246" s="259">
        <f t="shared" si="135"/>
        <v>0</v>
      </c>
      <c r="M246" s="259" t="str">
        <f t="shared" si="135"/>
        <v>-</v>
      </c>
      <c r="N246" s="259" t="str">
        <f t="shared" si="135"/>
        <v>-</v>
      </c>
      <c r="O246" s="259" t="str">
        <f t="shared" si="135"/>
        <v>-</v>
      </c>
      <c r="P246" s="259" t="str">
        <f t="shared" si="135"/>
        <v>-</v>
      </c>
      <c r="Q246" s="259" t="str">
        <f t="shared" si="135"/>
        <v>-</v>
      </c>
      <c r="R246" s="259" t="str">
        <f t="shared" si="135"/>
        <v>-</v>
      </c>
      <c r="S246" s="259" t="str">
        <f t="shared" si="135"/>
        <v>-</v>
      </c>
    </row>
  </sheetData>
  <sheetProtection selectLockedCells="1" selectUnlockedCells="1"/>
  <mergeCells count="156">
    <mergeCell ref="A1:E1"/>
    <mergeCell ref="F1:G1"/>
    <mergeCell ref="P1:S1"/>
    <mergeCell ref="B2:E2"/>
    <mergeCell ref="B3:E3"/>
    <mergeCell ref="C4:E4"/>
    <mergeCell ref="D5:E5"/>
    <mergeCell ref="D6:E6"/>
    <mergeCell ref="D7:E7"/>
    <mergeCell ref="D9:E9"/>
    <mergeCell ref="D10:E10"/>
    <mergeCell ref="C11:E11"/>
    <mergeCell ref="D12:E12"/>
    <mergeCell ref="D13:E13"/>
    <mergeCell ref="B14:E14"/>
    <mergeCell ref="C15:E15"/>
    <mergeCell ref="D16:E16"/>
    <mergeCell ref="B17:E17"/>
    <mergeCell ref="B18:E18"/>
    <mergeCell ref="D19:E19"/>
    <mergeCell ref="B20:E20"/>
    <mergeCell ref="C21:E21"/>
    <mergeCell ref="B22:E22"/>
    <mergeCell ref="B23:E23"/>
    <mergeCell ref="C24:E24"/>
    <mergeCell ref="D25:E25"/>
    <mergeCell ref="C26:E26"/>
    <mergeCell ref="D27:E27"/>
    <mergeCell ref="C28:E28"/>
    <mergeCell ref="D29:E29"/>
    <mergeCell ref="C30:E30"/>
    <mergeCell ref="D31:E31"/>
    <mergeCell ref="B32:E32"/>
    <mergeCell ref="C33:E33"/>
    <mergeCell ref="B34:E34"/>
    <mergeCell ref="B35:E35"/>
    <mergeCell ref="C36:E36"/>
    <mergeCell ref="B37:E37"/>
    <mergeCell ref="C38:E38"/>
    <mergeCell ref="B39:E39"/>
    <mergeCell ref="C40:E40"/>
    <mergeCell ref="B41:E41"/>
    <mergeCell ref="B42:E42"/>
    <mergeCell ref="B43:E43"/>
    <mergeCell ref="C44:E44"/>
    <mergeCell ref="B45:E45"/>
    <mergeCell ref="B46:E46"/>
    <mergeCell ref="C47:E47"/>
    <mergeCell ref="B48:E48"/>
    <mergeCell ref="C49:E49"/>
    <mergeCell ref="C50:E50"/>
    <mergeCell ref="B51:E51"/>
    <mergeCell ref="B52:E52"/>
    <mergeCell ref="C54:E54"/>
    <mergeCell ref="D55:E55"/>
    <mergeCell ref="C56:E56"/>
    <mergeCell ref="D57:E57"/>
    <mergeCell ref="B58:E58"/>
    <mergeCell ref="C59:E59"/>
    <mergeCell ref="B60:E60"/>
    <mergeCell ref="C61:E61"/>
    <mergeCell ref="C62:E62"/>
    <mergeCell ref="C63:E63"/>
    <mergeCell ref="D64:E64"/>
    <mergeCell ref="D65:E65"/>
    <mergeCell ref="C66:E66"/>
    <mergeCell ref="C67:E67"/>
    <mergeCell ref="C68:E68"/>
    <mergeCell ref="B69:E69"/>
    <mergeCell ref="C70:E70"/>
    <mergeCell ref="D71:E71"/>
    <mergeCell ref="C72:E72"/>
    <mergeCell ref="B73:E73"/>
    <mergeCell ref="D74:E74"/>
    <mergeCell ref="C75:E75"/>
    <mergeCell ref="C76:E76"/>
    <mergeCell ref="D77:E77"/>
    <mergeCell ref="D78:E78"/>
    <mergeCell ref="C79:E79"/>
    <mergeCell ref="D80:E80"/>
    <mergeCell ref="D81:E81"/>
    <mergeCell ref="B82:E82"/>
    <mergeCell ref="C83:E83"/>
    <mergeCell ref="C84:E84"/>
    <mergeCell ref="C85:E85"/>
    <mergeCell ref="C86:E86"/>
    <mergeCell ref="C87:E87"/>
    <mergeCell ref="C88:E88"/>
    <mergeCell ref="C89:E89"/>
    <mergeCell ref="B90:E90"/>
    <mergeCell ref="C91:E91"/>
    <mergeCell ref="C92:E92"/>
    <mergeCell ref="C93:E93"/>
    <mergeCell ref="D94:E94"/>
    <mergeCell ref="D95:E95"/>
    <mergeCell ref="D96:E96"/>
    <mergeCell ref="C97:E97"/>
    <mergeCell ref="Q98:S98"/>
    <mergeCell ref="Q99:S99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</mergeCells>
  <conditionalFormatting sqref="J178:S181">
    <cfRule type="cellIs" priority="1" dxfId="0" operator="lessThan" stopIfTrue="1">
      <formula>'Zał.1_WPF_bazowy'!$E$175</formula>
    </cfRule>
    <cfRule type="cellIs" priority="2" dxfId="1" operator="lessThan" stopIfTrue="1">
      <formula>'Zał.1_WPF_bazowy'!$E$176</formula>
    </cfRule>
    <cfRule type="cellIs" priority="3" dxfId="2" operator="lessThan" stopIfTrue="1">
      <formula>'Zał.1_WPF_bazowy'!$E$177</formula>
    </cfRule>
  </conditionalFormatting>
  <conditionalFormatting sqref="J226:S241 J243:S246">
    <cfRule type="cellIs" priority="4" dxfId="3" operator="equal" stopIfTrue="1">
      <formula>"-"</formula>
    </cfRule>
    <cfRule type="cellIs" priority="5" dxfId="4" operator="between" stopIfTrue="1">
      <formula>0.00000001</formula>
      <formula>1</formula>
    </cfRule>
    <cfRule type="cellIs" priority="6" dxfId="5" operator="greaterThan" stopIfTrue="1">
      <formula>1</formula>
    </cfRule>
  </conditionalFormatting>
  <conditionalFormatting sqref="J56:S57">
    <cfRule type="expression" priority="7" dxfId="6" stopIfTrue="1">
      <formula>LEFT('Zał.1_WPF_bazowy'!J56,3)="Nie"</formula>
    </cfRule>
  </conditionalFormatting>
  <conditionalFormatting sqref="J186:S197">
    <cfRule type="cellIs" priority="8" dxfId="0" operator="notBetween" stopIfTrue="1">
      <formula>-'Zał.1_WPF_bazowy'!$E$185</formula>
      <formula>'Zał.1_WPF_bazowy'!$E$185</formula>
    </cfRule>
    <cfRule type="cellIs" priority="9" dxfId="1" operator="notBetween" stopIfTrue="1">
      <formula>-'Zał.1_WPF_bazowy'!$E$184</formula>
      <formula>'Zał.1_WPF_bazowy'!$E$184</formula>
    </cfRule>
    <cfRule type="cellIs" priority="10" dxfId="2" operator="notBetween" stopIfTrue="1">
      <formula>-'Zał.1_WPF_bazowy'!$E$183</formula>
      <formula>'Zał.1_WPF_bazowy'!$E$183</formula>
    </cfRule>
  </conditionalFormatting>
  <conditionalFormatting sqref="J116:S116">
    <cfRule type="cellIs" priority="11" dxfId="7" operator="between" stopIfTrue="1">
      <formula>0</formula>
      <formula>1000000000000</formula>
    </cfRule>
  </conditionalFormatting>
  <conditionalFormatting sqref="J117:S119">
    <cfRule type="cellIs" priority="12" dxfId="7" operator="between" stopIfTrue="1">
      <formula>-1000000000000</formula>
      <formula>1000000000000</formula>
    </cfRule>
  </conditionalFormatting>
  <conditionalFormatting sqref="J114:S115">
    <cfRule type="cellIs" priority="13" dxfId="8" operator="between" stopIfTrue="1">
      <formula>-1000000000000</formula>
      <formula>1000000000000</formula>
    </cfRule>
  </conditionalFormatting>
  <conditionalFormatting sqref="J120:S164">
    <cfRule type="cellIs" priority="14" dxfId="9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2013-02-25b&amp;C&amp;8Strona &amp;P z &amp;N&amp;R&amp;8Wydruk z dn.: &amp;D - &amp;T</oddFooter>
  </headerFooter>
  <rowBreaks count="2" manualBreakCount="2">
    <brk id="41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116"/>
  <sheetViews>
    <sheetView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2.75">
      <c r="A1" s="275" t="s">
        <v>339</v>
      </c>
      <c r="I1" s="276" t="e">
        <f>'Zał.1_WPF_bazowy'!#REF!&amp;" - "&amp;"WPF za lata "&amp;'Zał.1_WPF_bazowy'!#REF!&amp;" - Nr Uchwały JST: "&amp;'Zał.1_WPF_bazowy'!#REF!</f>
        <v>#REF!</v>
      </c>
    </row>
    <row r="99" spans="2:9" ht="12.75">
      <c r="B99" s="275" t="s">
        <v>340</v>
      </c>
      <c r="I99" s="275" t="s">
        <v>340</v>
      </c>
    </row>
    <row r="116" spans="2:9" ht="12.75">
      <c r="B116" s="275" t="s">
        <v>341</v>
      </c>
      <c r="I116" s="275" t="s">
        <v>341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indexed="51"/>
  </sheetPr>
  <dimension ref="A1:AN253"/>
  <sheetViews>
    <sheetView zoomScale="90" zoomScaleNormal="90" zoomScaleSheetLayoutView="10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8.796875" defaultRowHeight="14.25" outlineLevelRow="3" outlineLevelCol="1"/>
  <cols>
    <col min="1" max="1" width="5.796875" style="68" customWidth="1"/>
    <col min="2" max="2" width="16.3984375" style="68" customWidth="1" outlineLevel="1"/>
    <col min="3" max="5" width="1.796875" style="68" customWidth="1"/>
    <col min="6" max="6" width="44.3984375" style="68" customWidth="1"/>
    <col min="7" max="10" width="14.3984375" style="68" customWidth="1" outlineLevel="1"/>
    <col min="11" max="40" width="14.3984375" style="68" customWidth="1"/>
    <col min="41" max="16384" width="9" style="7" customWidth="1"/>
  </cols>
  <sheetData>
    <row r="1" spans="1:15" ht="14.25" customHeight="1">
      <c r="A1" s="277" t="s">
        <v>342</v>
      </c>
      <c r="B1" s="277"/>
      <c r="C1" s="278"/>
      <c r="D1" s="279"/>
      <c r="E1" s="279"/>
      <c r="F1" s="278"/>
      <c r="G1" s="279"/>
      <c r="H1" s="280" t="s">
        <v>343</v>
      </c>
      <c r="I1" s="280"/>
      <c r="J1" s="280"/>
      <c r="K1" s="280"/>
      <c r="L1" s="280"/>
      <c r="M1" s="280"/>
      <c r="N1" s="280"/>
      <c r="O1" s="280"/>
    </row>
    <row r="2" spans="1:14" ht="14.25" customHeight="1">
      <c r="A2" s="277" t="s">
        <v>344</v>
      </c>
      <c r="B2" s="277"/>
      <c r="C2" s="278"/>
      <c r="D2" s="279"/>
      <c r="E2" s="279"/>
      <c r="F2" s="278"/>
      <c r="G2" s="279"/>
      <c r="H2" s="281" t="s">
        <v>345</v>
      </c>
      <c r="I2" s="281"/>
      <c r="J2" s="281"/>
      <c r="K2" s="281"/>
      <c r="L2" s="281"/>
      <c r="M2" s="281"/>
      <c r="N2" s="281"/>
    </row>
    <row r="3" spans="1:15" ht="12.75">
      <c r="A3" s="282" t="s">
        <v>346</v>
      </c>
      <c r="B3" s="277"/>
      <c r="C3" s="278"/>
      <c r="D3" s="279"/>
      <c r="E3" s="279"/>
      <c r="F3" s="278"/>
      <c r="G3" s="279"/>
      <c r="H3" s="283" t="s">
        <v>347</v>
      </c>
      <c r="I3" s="283"/>
      <c r="J3" s="283"/>
      <c r="K3" s="283"/>
      <c r="L3" s="283"/>
      <c r="M3" s="283"/>
      <c r="N3" s="283"/>
      <c r="O3" s="283"/>
    </row>
    <row r="4" spans="2:12" ht="14.25" customHeight="1">
      <c r="B4" s="282"/>
      <c r="C4" s="278"/>
      <c r="D4" s="279"/>
      <c r="E4" s="279"/>
      <c r="F4" s="284"/>
      <c r="G4" s="279"/>
      <c r="H4" s="279"/>
      <c r="I4" s="279"/>
      <c r="J4" s="279"/>
      <c r="K4" s="279"/>
      <c r="L4" s="279"/>
    </row>
    <row r="5" spans="1:40" s="278" customFormat="1" ht="12.75">
      <c r="A5" s="65"/>
      <c r="B5" s="65"/>
      <c r="C5" s="65"/>
      <c r="D5" s="65"/>
      <c r="E5" s="285" t="s">
        <v>348</v>
      </c>
      <c r="F5" s="286" t="str">
        <f>DaneZrodlowe!B4</f>
        <v>Uchwała z 28 marca 2013 r.</v>
      </c>
      <c r="G5" s="65"/>
      <c r="H5" s="282"/>
      <c r="I5" s="287"/>
      <c r="J5" s="288" t="str">
        <f>F6&amp;" - "&amp;"WPF za lata "&amp;F7&amp;" - Nr Uchwały JST: "&amp;F5</f>
        <v>BRZEZINY - WPF za lata 2013 - 2029 - Nr Uchwały JST: Uchwała z 28 marca 2013 r.</v>
      </c>
      <c r="K5" s="65"/>
      <c r="L5" s="65"/>
      <c r="M5" s="65"/>
      <c r="N5" s="279"/>
      <c r="O5" s="65"/>
      <c r="P5" s="284"/>
      <c r="Q5" s="284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</row>
    <row r="6" spans="1:40" s="278" customFormat="1" ht="12.75">
      <c r="A6" s="65"/>
      <c r="B6" s="65"/>
      <c r="C6" s="65"/>
      <c r="D6" s="65"/>
      <c r="E6" s="285" t="s">
        <v>349</v>
      </c>
      <c r="F6" s="289" t="str">
        <f>DaneZrodlowe!C4</f>
        <v>BRZEZINY</v>
      </c>
      <c r="G6" s="65"/>
      <c r="H6" s="290"/>
      <c r="I6" s="291"/>
      <c r="J6" s="291"/>
      <c r="K6" s="65"/>
      <c r="L6" s="65"/>
      <c r="M6" s="65"/>
      <c r="N6" s="279"/>
      <c r="O6" s="65"/>
      <c r="P6" s="284"/>
      <c r="Q6" s="284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s="278" customFormat="1" ht="12.75">
      <c r="A7" s="65"/>
      <c r="B7" s="65"/>
      <c r="C7" s="65"/>
      <c r="D7" s="65"/>
      <c r="E7" s="292" t="s">
        <v>350</v>
      </c>
      <c r="F7" s="293" t="str">
        <f>CONCATENATE(DaneZrodlowe!M1," - ",DaneZrodlowe!P1)</f>
        <v>2013 - 2029</v>
      </c>
      <c r="G7" s="65"/>
      <c r="H7" s="65"/>
      <c r="I7" s="294"/>
      <c r="J7" s="294"/>
      <c r="K7" s="65"/>
      <c r="L7" s="65"/>
      <c r="M7" s="65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3:15" ht="12.75">
      <c r="C8" s="295"/>
      <c r="D8" s="5"/>
      <c r="E8" s="5"/>
      <c r="F8" s="5"/>
      <c r="G8" s="5"/>
      <c r="H8" s="5"/>
      <c r="I8" s="5"/>
      <c r="J8" s="5"/>
      <c r="K8" s="296">
        <f>""</f>
      </c>
      <c r="L8" s="5"/>
      <c r="M8" s="5"/>
      <c r="N8" s="5"/>
      <c r="O8" s="5"/>
    </row>
    <row r="9" spans="1:40" s="306" customFormat="1" ht="28.5" customHeight="1">
      <c r="A9" s="297" t="s">
        <v>4</v>
      </c>
      <c r="B9" s="298" t="s">
        <v>351</v>
      </c>
      <c r="C9" s="299" t="s">
        <v>5</v>
      </c>
      <c r="D9" s="299"/>
      <c r="E9" s="299"/>
      <c r="F9" s="299"/>
      <c r="G9" s="300" t="s">
        <v>352</v>
      </c>
      <c r="H9" s="301" t="s">
        <v>353</v>
      </c>
      <c r="I9" s="301" t="s">
        <v>354</v>
      </c>
      <c r="J9" s="302" t="s">
        <v>355</v>
      </c>
      <c r="K9" s="303">
        <f>+definicja!E9</f>
        <v>2013</v>
      </c>
      <c r="L9" s="304">
        <f>+definicja!F9</f>
        <v>2014</v>
      </c>
      <c r="M9" s="304">
        <f>+definicja!G9</f>
        <v>2015</v>
      </c>
      <c r="N9" s="304">
        <f>+definicja!H9</f>
        <v>2016</v>
      </c>
      <c r="O9" s="304">
        <f>+definicja!I9</f>
        <v>2017</v>
      </c>
      <c r="P9" s="304">
        <f>+definicja!J9</f>
        <v>2018</v>
      </c>
      <c r="Q9" s="304">
        <f>+definicja!K9</f>
        <v>2019</v>
      </c>
      <c r="R9" s="304">
        <f>+definicja!L9</f>
        <v>2020</v>
      </c>
      <c r="S9" s="304">
        <f>+definicja!M9</f>
        <v>2021</v>
      </c>
      <c r="T9" s="304">
        <f>+definicja!N9</f>
        <v>2022</v>
      </c>
      <c r="U9" s="304">
        <f>+definicja!O9</f>
        <v>2023</v>
      </c>
      <c r="V9" s="304">
        <f>+definicja!P9</f>
        <v>2024</v>
      </c>
      <c r="W9" s="304">
        <f>+definicja!Q9</f>
        <v>2025</v>
      </c>
      <c r="X9" s="304">
        <f>+definicja!R9</f>
        <v>2026</v>
      </c>
      <c r="Y9" s="304">
        <f>+definicja!S9</f>
        <v>2027</v>
      </c>
      <c r="Z9" s="304">
        <f>+definicja!T9</f>
        <v>2028</v>
      </c>
      <c r="AA9" s="304">
        <f>+definicja!U9</f>
        <v>2029</v>
      </c>
      <c r="AB9" s="304">
        <f>+definicja!V9</f>
        <v>2030</v>
      </c>
      <c r="AC9" s="304">
        <f>+definicja!W9</f>
        <v>2031</v>
      </c>
      <c r="AD9" s="304">
        <f>+definicja!X9</f>
        <v>2032</v>
      </c>
      <c r="AE9" s="304">
        <f>+definicja!Y9</f>
        <v>2033</v>
      </c>
      <c r="AF9" s="304">
        <f>+definicja!Z9</f>
        <v>2034</v>
      </c>
      <c r="AG9" s="304">
        <f>+definicja!AA9</f>
        <v>2035</v>
      </c>
      <c r="AH9" s="304">
        <f>+definicja!AB9</f>
        <v>2036</v>
      </c>
      <c r="AI9" s="304">
        <f>+definicja!AC9</f>
        <v>2037</v>
      </c>
      <c r="AJ9" s="304">
        <f>+definicja!AD9</f>
        <v>2038</v>
      </c>
      <c r="AK9" s="304">
        <f>+definicja!AE9</f>
        <v>2039</v>
      </c>
      <c r="AL9" s="304">
        <f>+definicja!AF9</f>
        <v>2040</v>
      </c>
      <c r="AM9" s="304">
        <f>+definicja!AG9</f>
        <v>2041</v>
      </c>
      <c r="AN9" s="305">
        <f>+definicja!AH9</f>
        <v>2042</v>
      </c>
    </row>
    <row r="10" spans="1:40" s="315" customFormat="1" ht="12.75" customHeight="1" outlineLevel="1">
      <c r="A10" s="307">
        <v>1</v>
      </c>
      <c r="B10" s="308" t="s">
        <v>356</v>
      </c>
      <c r="C10" s="309" t="s">
        <v>9</v>
      </c>
      <c r="D10" s="309"/>
      <c r="E10" s="309"/>
      <c r="F10" s="309"/>
      <c r="G10" s="310">
        <f>'Zał.1_WPF_bazowy'!F3</f>
        <v>31484876.01</v>
      </c>
      <c r="H10" s="311">
        <f>'Zał.1_WPF_bazowy'!G3</f>
        <v>31063442.33</v>
      </c>
      <c r="I10" s="311">
        <f>'Zał.1_WPF_bazowy'!H3</f>
        <v>35624119.93</v>
      </c>
      <c r="J10" s="312">
        <f>+J11+J18</f>
        <v>34438420.27</v>
      </c>
      <c r="K10" s="313">
        <f>+K11+K18</f>
        <v>31943451.220000003</v>
      </c>
      <c r="L10" s="314">
        <f aca="true" t="shared" si="0" ref="L10:AN10">+L11+L18</f>
        <v>30722594.71</v>
      </c>
      <c r="M10" s="314">
        <f t="shared" si="0"/>
        <v>31000000</v>
      </c>
      <c r="N10" s="314">
        <f t="shared" si="0"/>
        <v>31500000</v>
      </c>
      <c r="O10" s="314">
        <f t="shared" si="0"/>
        <v>32000000</v>
      </c>
      <c r="P10" s="314">
        <f t="shared" si="0"/>
        <v>32500000</v>
      </c>
      <c r="Q10" s="314">
        <f t="shared" si="0"/>
        <v>33000000</v>
      </c>
      <c r="R10" s="314">
        <f t="shared" si="0"/>
        <v>33500000</v>
      </c>
      <c r="S10" s="314">
        <f t="shared" si="0"/>
        <v>34000000</v>
      </c>
      <c r="T10" s="314">
        <f t="shared" si="0"/>
        <v>34500000</v>
      </c>
      <c r="U10" s="314" t="e">
        <f t="shared" si="0"/>
        <v>#REF!</v>
      </c>
      <c r="V10" s="314" t="e">
        <f t="shared" si="0"/>
        <v>#REF!</v>
      </c>
      <c r="W10" s="314" t="e">
        <f t="shared" si="0"/>
        <v>#REF!</v>
      </c>
      <c r="X10" s="314" t="e">
        <f t="shared" si="0"/>
        <v>#REF!</v>
      </c>
      <c r="Y10" s="314" t="e">
        <f t="shared" si="0"/>
        <v>#REF!</v>
      </c>
      <c r="Z10" s="314" t="e">
        <f t="shared" si="0"/>
        <v>#REF!</v>
      </c>
      <c r="AA10" s="314" t="e">
        <f t="shared" si="0"/>
        <v>#REF!</v>
      </c>
      <c r="AB10" s="314" t="e">
        <f t="shared" si="0"/>
        <v>#REF!</v>
      </c>
      <c r="AC10" s="314" t="e">
        <f t="shared" si="0"/>
        <v>#REF!</v>
      </c>
      <c r="AD10" s="314" t="e">
        <f t="shared" si="0"/>
        <v>#REF!</v>
      </c>
      <c r="AE10" s="314" t="e">
        <f t="shared" si="0"/>
        <v>#REF!</v>
      </c>
      <c r="AF10" s="314" t="e">
        <f t="shared" si="0"/>
        <v>#REF!</v>
      </c>
      <c r="AG10" s="314" t="e">
        <f t="shared" si="0"/>
        <v>#REF!</v>
      </c>
      <c r="AH10" s="314" t="e">
        <f t="shared" si="0"/>
        <v>#REF!</v>
      </c>
      <c r="AI10" s="314" t="e">
        <f t="shared" si="0"/>
        <v>#REF!</v>
      </c>
      <c r="AJ10" s="314" t="e">
        <f t="shared" si="0"/>
        <v>#REF!</v>
      </c>
      <c r="AK10" s="314" t="e">
        <f t="shared" si="0"/>
        <v>#REF!</v>
      </c>
      <c r="AL10" s="314" t="e">
        <f t="shared" si="0"/>
        <v>#REF!</v>
      </c>
      <c r="AM10" s="314" t="e">
        <f t="shared" si="0"/>
        <v>#REF!</v>
      </c>
      <c r="AN10" s="312" t="e">
        <f t="shared" si="0"/>
        <v>#REF!</v>
      </c>
    </row>
    <row r="11" spans="1:40" ht="14.25" customHeight="1" outlineLevel="2">
      <c r="A11" s="48" t="s">
        <v>10</v>
      </c>
      <c r="B11" s="316"/>
      <c r="C11" s="317"/>
      <c r="D11" s="316" t="s">
        <v>11</v>
      </c>
      <c r="E11" s="316"/>
      <c r="F11" s="316"/>
      <c r="G11" s="318">
        <f>'Zał.1_WPF_bazowy'!F4</f>
        <v>25893786.18</v>
      </c>
      <c r="H11" s="319">
        <f>'Zał.1_WPF_bazowy'!G4</f>
        <v>28412491.19</v>
      </c>
      <c r="I11" s="319">
        <f>'Zał.1_WPF_bazowy'!H4</f>
        <v>29915724.45</v>
      </c>
      <c r="J11" s="320">
        <f>'Zał.1_WPF_bazowy'!I4</f>
        <v>29417886.46</v>
      </c>
      <c r="K11" s="321">
        <f>+'Zał.1_WPF_bazowy'!J4</f>
        <v>31028455.51</v>
      </c>
      <c r="L11" s="322">
        <f>+'Zał.1_WPF_bazowy'!K4</f>
        <v>30722594.71</v>
      </c>
      <c r="M11" s="322">
        <f>+'Zał.1_WPF_bazowy'!L4</f>
        <v>31000000</v>
      </c>
      <c r="N11" s="322">
        <f>+'Zał.1_WPF_bazowy'!M4</f>
        <v>31500000</v>
      </c>
      <c r="O11" s="322">
        <f>+'Zał.1_WPF_bazowy'!N4</f>
        <v>32000000</v>
      </c>
      <c r="P11" s="322">
        <f>+'Zał.1_WPF_bazowy'!O4</f>
        <v>32500000</v>
      </c>
      <c r="Q11" s="322">
        <f>+'Zał.1_WPF_bazowy'!P4</f>
        <v>33000000</v>
      </c>
      <c r="R11" s="322">
        <f>+'Zał.1_WPF_bazowy'!Q4</f>
        <v>33500000</v>
      </c>
      <c r="S11" s="322">
        <f>+'Zał.1_WPF_bazowy'!R4</f>
        <v>34000000</v>
      </c>
      <c r="T11" s="322">
        <f>+'Zał.1_WPF_bazowy'!S4</f>
        <v>34500000</v>
      </c>
      <c r="U11" s="322" t="e">
        <f>+'Zał.1_WPF_bazowy'!#REF!</f>
        <v>#REF!</v>
      </c>
      <c r="V11" s="322" t="e">
        <f>+'Zał.1_WPF_bazowy'!#REF!</f>
        <v>#REF!</v>
      </c>
      <c r="W11" s="322" t="e">
        <f>+'Zał.1_WPF_bazowy'!#REF!</f>
        <v>#REF!</v>
      </c>
      <c r="X11" s="322" t="e">
        <f>+'Zał.1_WPF_bazowy'!#REF!</f>
        <v>#REF!</v>
      </c>
      <c r="Y11" s="322" t="e">
        <f>+'Zał.1_WPF_bazowy'!#REF!</f>
        <v>#REF!</v>
      </c>
      <c r="Z11" s="322" t="e">
        <f>+'Zał.1_WPF_bazowy'!#REF!</f>
        <v>#REF!</v>
      </c>
      <c r="AA11" s="322" t="e">
        <f>+'Zał.1_WPF_bazowy'!#REF!</f>
        <v>#REF!</v>
      </c>
      <c r="AB11" s="322" t="e">
        <f>+'Zał.1_WPF_bazowy'!#REF!</f>
        <v>#REF!</v>
      </c>
      <c r="AC11" s="322" t="e">
        <f>+'Zał.1_WPF_bazowy'!#REF!</f>
        <v>#REF!</v>
      </c>
      <c r="AD11" s="322" t="e">
        <f>+'Zał.1_WPF_bazowy'!#REF!</f>
        <v>#REF!</v>
      </c>
      <c r="AE11" s="322" t="e">
        <f>+'Zał.1_WPF_bazowy'!#REF!</f>
        <v>#REF!</v>
      </c>
      <c r="AF11" s="322" t="e">
        <f>+'Zał.1_WPF_bazowy'!#REF!</f>
        <v>#REF!</v>
      </c>
      <c r="AG11" s="322" t="e">
        <f>+'Zał.1_WPF_bazowy'!#REF!</f>
        <v>#REF!</v>
      </c>
      <c r="AH11" s="322" t="e">
        <f>+'Zał.1_WPF_bazowy'!#REF!</f>
        <v>#REF!</v>
      </c>
      <c r="AI11" s="322" t="e">
        <f>+'Zał.1_WPF_bazowy'!#REF!</f>
        <v>#REF!</v>
      </c>
      <c r="AJ11" s="322" t="e">
        <f>+'Zał.1_WPF_bazowy'!#REF!</f>
        <v>#REF!</v>
      </c>
      <c r="AK11" s="322" t="e">
        <f>+'Zał.1_WPF_bazowy'!#REF!</f>
        <v>#REF!</v>
      </c>
      <c r="AL11" s="322" t="e">
        <f>+'Zał.1_WPF_bazowy'!#REF!</f>
        <v>#REF!</v>
      </c>
      <c r="AM11" s="322" t="e">
        <f>+'Zał.1_WPF_bazowy'!#REF!</f>
        <v>#REF!</v>
      </c>
      <c r="AN11" s="323" t="e">
        <f>+'Zał.1_WPF_bazowy'!#REF!</f>
        <v>#REF!</v>
      </c>
    </row>
    <row r="12" spans="1:40" ht="24" customHeight="1" outlineLevel="2">
      <c r="A12" s="48" t="s">
        <v>12</v>
      </c>
      <c r="B12" s="316"/>
      <c r="C12" s="317"/>
      <c r="D12" s="324"/>
      <c r="E12" s="316" t="s">
        <v>13</v>
      </c>
      <c r="F12" s="316"/>
      <c r="G12" s="318">
        <f>'Zał.1_WPF_bazowy'!F5</f>
        <v>0</v>
      </c>
      <c r="H12" s="319">
        <f>'Zał.1_WPF_bazowy'!G5</f>
        <v>0</v>
      </c>
      <c r="I12" s="319">
        <f>'Zał.1_WPF_bazowy'!H5</f>
        <v>0</v>
      </c>
      <c r="J12" s="320">
        <f>'Zał.1_WPF_bazowy'!I5</f>
        <v>0</v>
      </c>
      <c r="K12" s="321">
        <f>+'Zał.1_WPF_bazowy'!J5</f>
        <v>6700000</v>
      </c>
      <c r="L12" s="322">
        <f>+'Zał.1_WPF_bazowy'!K5</f>
        <v>0</v>
      </c>
      <c r="M12" s="322">
        <f>+'Zał.1_WPF_bazowy'!L5</f>
        <v>0</v>
      </c>
      <c r="N12" s="322">
        <f>+'Zał.1_WPF_bazowy'!M5</f>
        <v>0</v>
      </c>
      <c r="O12" s="322">
        <f>+'Zał.1_WPF_bazowy'!N5</f>
        <v>0</v>
      </c>
      <c r="P12" s="322">
        <f>+'Zał.1_WPF_bazowy'!O5</f>
        <v>0</v>
      </c>
      <c r="Q12" s="322">
        <f>+'Zał.1_WPF_bazowy'!P5</f>
        <v>0</v>
      </c>
      <c r="R12" s="322">
        <f>+'Zał.1_WPF_bazowy'!Q5</f>
        <v>0</v>
      </c>
      <c r="S12" s="322">
        <f>+'Zał.1_WPF_bazowy'!R5</f>
        <v>0</v>
      </c>
      <c r="T12" s="322">
        <f>+'Zał.1_WPF_bazowy'!S5</f>
        <v>0</v>
      </c>
      <c r="U12" s="322" t="e">
        <f>+'Zał.1_WPF_bazowy'!#REF!</f>
        <v>#REF!</v>
      </c>
      <c r="V12" s="322" t="e">
        <f>+'Zał.1_WPF_bazowy'!#REF!</f>
        <v>#REF!</v>
      </c>
      <c r="W12" s="322" t="e">
        <f>+'Zał.1_WPF_bazowy'!#REF!</f>
        <v>#REF!</v>
      </c>
      <c r="X12" s="322" t="e">
        <f>+'Zał.1_WPF_bazowy'!#REF!</f>
        <v>#REF!</v>
      </c>
      <c r="Y12" s="322" t="e">
        <f>+'Zał.1_WPF_bazowy'!#REF!</f>
        <v>#REF!</v>
      </c>
      <c r="Z12" s="322" t="e">
        <f>+'Zał.1_WPF_bazowy'!#REF!</f>
        <v>#REF!</v>
      </c>
      <c r="AA12" s="322" t="e">
        <f>+'Zał.1_WPF_bazowy'!#REF!</f>
        <v>#REF!</v>
      </c>
      <c r="AB12" s="322" t="e">
        <f>+'Zał.1_WPF_bazowy'!#REF!</f>
        <v>#REF!</v>
      </c>
      <c r="AC12" s="322" t="e">
        <f>+'Zał.1_WPF_bazowy'!#REF!</f>
        <v>#REF!</v>
      </c>
      <c r="AD12" s="322" t="e">
        <f>+'Zał.1_WPF_bazowy'!#REF!</f>
        <v>#REF!</v>
      </c>
      <c r="AE12" s="322" t="e">
        <f>+'Zał.1_WPF_bazowy'!#REF!</f>
        <v>#REF!</v>
      </c>
      <c r="AF12" s="322" t="e">
        <f>+'Zał.1_WPF_bazowy'!#REF!</f>
        <v>#REF!</v>
      </c>
      <c r="AG12" s="322" t="e">
        <f>+'Zał.1_WPF_bazowy'!#REF!</f>
        <v>#REF!</v>
      </c>
      <c r="AH12" s="322" t="e">
        <f>+'Zał.1_WPF_bazowy'!#REF!</f>
        <v>#REF!</v>
      </c>
      <c r="AI12" s="322" t="e">
        <f>+'Zał.1_WPF_bazowy'!#REF!</f>
        <v>#REF!</v>
      </c>
      <c r="AJ12" s="322" t="e">
        <f>+'Zał.1_WPF_bazowy'!#REF!</f>
        <v>#REF!</v>
      </c>
      <c r="AK12" s="322" t="e">
        <f>+'Zał.1_WPF_bazowy'!#REF!</f>
        <v>#REF!</v>
      </c>
      <c r="AL12" s="322" t="e">
        <f>+'Zał.1_WPF_bazowy'!#REF!</f>
        <v>#REF!</v>
      </c>
      <c r="AM12" s="322" t="e">
        <f>+'Zał.1_WPF_bazowy'!#REF!</f>
        <v>#REF!</v>
      </c>
      <c r="AN12" s="323" t="e">
        <f>+'Zał.1_WPF_bazowy'!#REF!</f>
        <v>#REF!</v>
      </c>
    </row>
    <row r="13" spans="1:40" ht="24" customHeight="1" outlineLevel="2">
      <c r="A13" s="48" t="s">
        <v>14</v>
      </c>
      <c r="B13" s="316"/>
      <c r="C13" s="317"/>
      <c r="D13" s="324"/>
      <c r="E13" s="316" t="s">
        <v>15</v>
      </c>
      <c r="F13" s="316"/>
      <c r="G13" s="318">
        <f>'Zał.1_WPF_bazowy'!F6</f>
        <v>0</v>
      </c>
      <c r="H13" s="319">
        <f>'Zał.1_WPF_bazowy'!G6</f>
        <v>0</v>
      </c>
      <c r="I13" s="319">
        <f>'Zał.1_WPF_bazowy'!H6</f>
        <v>0</v>
      </c>
      <c r="J13" s="320">
        <f>'Zał.1_WPF_bazowy'!I6</f>
        <v>0</v>
      </c>
      <c r="K13" s="321">
        <f>+'Zał.1_WPF_bazowy'!J6</f>
        <v>120000</v>
      </c>
      <c r="L13" s="322">
        <f>+'Zał.1_WPF_bazowy'!K6</f>
        <v>0</v>
      </c>
      <c r="M13" s="322">
        <f>+'Zał.1_WPF_bazowy'!L6</f>
        <v>0</v>
      </c>
      <c r="N13" s="322">
        <f>+'Zał.1_WPF_bazowy'!M6</f>
        <v>0</v>
      </c>
      <c r="O13" s="322">
        <f>+'Zał.1_WPF_bazowy'!N6</f>
        <v>0</v>
      </c>
      <c r="P13" s="322">
        <f>+'Zał.1_WPF_bazowy'!O6</f>
        <v>0</v>
      </c>
      <c r="Q13" s="322">
        <f>+'Zał.1_WPF_bazowy'!P6</f>
        <v>0</v>
      </c>
      <c r="R13" s="322">
        <f>+'Zał.1_WPF_bazowy'!Q6</f>
        <v>0</v>
      </c>
      <c r="S13" s="322">
        <f>+'Zał.1_WPF_bazowy'!R6</f>
        <v>0</v>
      </c>
      <c r="T13" s="322">
        <f>+'Zał.1_WPF_bazowy'!S6</f>
        <v>0</v>
      </c>
      <c r="U13" s="322" t="e">
        <f>+'Zał.1_WPF_bazowy'!#REF!</f>
        <v>#REF!</v>
      </c>
      <c r="V13" s="322" t="e">
        <f>+'Zał.1_WPF_bazowy'!#REF!</f>
        <v>#REF!</v>
      </c>
      <c r="W13" s="322" t="e">
        <f>+'Zał.1_WPF_bazowy'!#REF!</f>
        <v>#REF!</v>
      </c>
      <c r="X13" s="322" t="e">
        <f>+'Zał.1_WPF_bazowy'!#REF!</f>
        <v>#REF!</v>
      </c>
      <c r="Y13" s="322" t="e">
        <f>+'Zał.1_WPF_bazowy'!#REF!</f>
        <v>#REF!</v>
      </c>
      <c r="Z13" s="322" t="e">
        <f>+'Zał.1_WPF_bazowy'!#REF!</f>
        <v>#REF!</v>
      </c>
      <c r="AA13" s="322" t="e">
        <f>+'Zał.1_WPF_bazowy'!#REF!</f>
        <v>#REF!</v>
      </c>
      <c r="AB13" s="322" t="e">
        <f>+'Zał.1_WPF_bazowy'!#REF!</f>
        <v>#REF!</v>
      </c>
      <c r="AC13" s="322" t="e">
        <f>+'Zał.1_WPF_bazowy'!#REF!</f>
        <v>#REF!</v>
      </c>
      <c r="AD13" s="322" t="e">
        <f>+'Zał.1_WPF_bazowy'!#REF!</f>
        <v>#REF!</v>
      </c>
      <c r="AE13" s="322" t="e">
        <f>+'Zał.1_WPF_bazowy'!#REF!</f>
        <v>#REF!</v>
      </c>
      <c r="AF13" s="322" t="e">
        <f>+'Zał.1_WPF_bazowy'!#REF!</f>
        <v>#REF!</v>
      </c>
      <c r="AG13" s="322" t="e">
        <f>+'Zał.1_WPF_bazowy'!#REF!</f>
        <v>#REF!</v>
      </c>
      <c r="AH13" s="322" t="e">
        <f>+'Zał.1_WPF_bazowy'!#REF!</f>
        <v>#REF!</v>
      </c>
      <c r="AI13" s="322" t="e">
        <f>+'Zał.1_WPF_bazowy'!#REF!</f>
        <v>#REF!</v>
      </c>
      <c r="AJ13" s="322" t="e">
        <f>+'Zał.1_WPF_bazowy'!#REF!</f>
        <v>#REF!</v>
      </c>
      <c r="AK13" s="322" t="e">
        <f>+'Zał.1_WPF_bazowy'!#REF!</f>
        <v>#REF!</v>
      </c>
      <c r="AL13" s="322" t="e">
        <f>+'Zał.1_WPF_bazowy'!#REF!</f>
        <v>#REF!</v>
      </c>
      <c r="AM13" s="322" t="e">
        <f>+'Zał.1_WPF_bazowy'!#REF!</f>
        <v>#REF!</v>
      </c>
      <c r="AN13" s="323" t="e">
        <f>+'Zał.1_WPF_bazowy'!#REF!</f>
        <v>#REF!</v>
      </c>
    </row>
    <row r="14" spans="1:40" ht="14.25" customHeight="1" outlineLevel="2">
      <c r="A14" s="48" t="s">
        <v>16</v>
      </c>
      <c r="B14" s="316"/>
      <c r="C14" s="317"/>
      <c r="D14" s="324"/>
      <c r="E14" s="316" t="s">
        <v>17</v>
      </c>
      <c r="F14" s="316"/>
      <c r="G14" s="318">
        <f>'Zał.1_WPF_bazowy'!F7</f>
        <v>0</v>
      </c>
      <c r="H14" s="319">
        <f>'Zał.1_WPF_bazowy'!G7</f>
        <v>0</v>
      </c>
      <c r="I14" s="319">
        <f>'Zał.1_WPF_bazowy'!H7</f>
        <v>0</v>
      </c>
      <c r="J14" s="320">
        <f>'Zał.1_WPF_bazowy'!I7</f>
        <v>0</v>
      </c>
      <c r="K14" s="321">
        <f>+'Zał.1_WPF_bazowy'!J7</f>
        <v>6167743.3</v>
      </c>
      <c r="L14" s="322">
        <f>+'Zał.1_WPF_bazowy'!K7</f>
        <v>0</v>
      </c>
      <c r="M14" s="322">
        <f>+'Zał.1_WPF_bazowy'!L7</f>
        <v>0</v>
      </c>
      <c r="N14" s="322">
        <f>+'Zał.1_WPF_bazowy'!M7</f>
        <v>0</v>
      </c>
      <c r="O14" s="322">
        <f>+'Zał.1_WPF_bazowy'!N7</f>
        <v>0</v>
      </c>
      <c r="P14" s="322">
        <f>+'Zał.1_WPF_bazowy'!O7</f>
        <v>0</v>
      </c>
      <c r="Q14" s="322">
        <f>+'Zał.1_WPF_bazowy'!P7</f>
        <v>0</v>
      </c>
      <c r="R14" s="322">
        <f>+'Zał.1_WPF_bazowy'!Q7</f>
        <v>0</v>
      </c>
      <c r="S14" s="322">
        <f>+'Zał.1_WPF_bazowy'!R7</f>
        <v>0</v>
      </c>
      <c r="T14" s="322">
        <f>+'Zał.1_WPF_bazowy'!S7</f>
        <v>0</v>
      </c>
      <c r="U14" s="322" t="e">
        <f>+'Zał.1_WPF_bazowy'!#REF!</f>
        <v>#REF!</v>
      </c>
      <c r="V14" s="322" t="e">
        <f>+'Zał.1_WPF_bazowy'!#REF!</f>
        <v>#REF!</v>
      </c>
      <c r="W14" s="322" t="e">
        <f>+'Zał.1_WPF_bazowy'!#REF!</f>
        <v>#REF!</v>
      </c>
      <c r="X14" s="322" t="e">
        <f>+'Zał.1_WPF_bazowy'!#REF!</f>
        <v>#REF!</v>
      </c>
      <c r="Y14" s="322" t="e">
        <f>+'Zał.1_WPF_bazowy'!#REF!</f>
        <v>#REF!</v>
      </c>
      <c r="Z14" s="322" t="e">
        <f>+'Zał.1_WPF_bazowy'!#REF!</f>
        <v>#REF!</v>
      </c>
      <c r="AA14" s="322" t="e">
        <f>+'Zał.1_WPF_bazowy'!#REF!</f>
        <v>#REF!</v>
      </c>
      <c r="AB14" s="322" t="e">
        <f>+'Zał.1_WPF_bazowy'!#REF!</f>
        <v>#REF!</v>
      </c>
      <c r="AC14" s="322" t="e">
        <f>+'Zał.1_WPF_bazowy'!#REF!</f>
        <v>#REF!</v>
      </c>
      <c r="AD14" s="322" t="e">
        <f>+'Zał.1_WPF_bazowy'!#REF!</f>
        <v>#REF!</v>
      </c>
      <c r="AE14" s="322" t="e">
        <f>+'Zał.1_WPF_bazowy'!#REF!</f>
        <v>#REF!</v>
      </c>
      <c r="AF14" s="322" t="e">
        <f>+'Zał.1_WPF_bazowy'!#REF!</f>
        <v>#REF!</v>
      </c>
      <c r="AG14" s="322" t="e">
        <f>+'Zał.1_WPF_bazowy'!#REF!</f>
        <v>#REF!</v>
      </c>
      <c r="AH14" s="322" t="e">
        <f>+'Zał.1_WPF_bazowy'!#REF!</f>
        <v>#REF!</v>
      </c>
      <c r="AI14" s="322" t="e">
        <f>+'Zał.1_WPF_bazowy'!#REF!</f>
        <v>#REF!</v>
      </c>
      <c r="AJ14" s="322" t="e">
        <f>+'Zał.1_WPF_bazowy'!#REF!</f>
        <v>#REF!</v>
      </c>
      <c r="AK14" s="322" t="e">
        <f>+'Zał.1_WPF_bazowy'!#REF!</f>
        <v>#REF!</v>
      </c>
      <c r="AL14" s="322" t="e">
        <f>+'Zał.1_WPF_bazowy'!#REF!</f>
        <v>#REF!</v>
      </c>
      <c r="AM14" s="322" t="e">
        <f>+'Zał.1_WPF_bazowy'!#REF!</f>
        <v>#REF!</v>
      </c>
      <c r="AN14" s="323" t="e">
        <f>+'Zał.1_WPF_bazowy'!#REF!</f>
        <v>#REF!</v>
      </c>
    </row>
    <row r="15" spans="1:40" ht="14.25" customHeight="1" outlineLevel="2">
      <c r="A15" s="48" t="s">
        <v>18</v>
      </c>
      <c r="B15" s="316"/>
      <c r="C15" s="317"/>
      <c r="D15" s="324"/>
      <c r="E15" s="324"/>
      <c r="F15" s="316" t="s">
        <v>19</v>
      </c>
      <c r="G15" s="318">
        <f>'Zał.1_WPF_bazowy'!F8</f>
        <v>0</v>
      </c>
      <c r="H15" s="319">
        <f>'Zał.1_WPF_bazowy'!G8</f>
        <v>0</v>
      </c>
      <c r="I15" s="319">
        <f>'Zał.1_WPF_bazowy'!H8</f>
        <v>0</v>
      </c>
      <c r="J15" s="320">
        <f>'Zał.1_WPF_bazowy'!I8</f>
        <v>0</v>
      </c>
      <c r="K15" s="321">
        <f>+'Zał.1_WPF_bazowy'!J8</f>
        <v>3722743.3</v>
      </c>
      <c r="L15" s="322">
        <f>+'Zał.1_WPF_bazowy'!K8</f>
        <v>0</v>
      </c>
      <c r="M15" s="322">
        <f>+'Zał.1_WPF_bazowy'!L8</f>
        <v>0</v>
      </c>
      <c r="N15" s="322">
        <f>+'Zał.1_WPF_bazowy'!M8</f>
        <v>0</v>
      </c>
      <c r="O15" s="322">
        <f>+'Zał.1_WPF_bazowy'!N8</f>
        <v>0</v>
      </c>
      <c r="P15" s="322">
        <f>+'Zał.1_WPF_bazowy'!O8</f>
        <v>0</v>
      </c>
      <c r="Q15" s="322">
        <f>+'Zał.1_WPF_bazowy'!P8</f>
        <v>0</v>
      </c>
      <c r="R15" s="322">
        <f>+'Zał.1_WPF_bazowy'!Q8</f>
        <v>0</v>
      </c>
      <c r="S15" s="322">
        <f>+'Zał.1_WPF_bazowy'!R8</f>
        <v>0</v>
      </c>
      <c r="T15" s="322">
        <f>+'Zał.1_WPF_bazowy'!S8</f>
        <v>0</v>
      </c>
      <c r="U15" s="322" t="e">
        <f>+'Zał.1_WPF_bazowy'!#REF!</f>
        <v>#REF!</v>
      </c>
      <c r="V15" s="322" t="e">
        <f>+'Zał.1_WPF_bazowy'!#REF!</f>
        <v>#REF!</v>
      </c>
      <c r="W15" s="322" t="e">
        <f>+'Zał.1_WPF_bazowy'!#REF!</f>
        <v>#REF!</v>
      </c>
      <c r="X15" s="322" t="e">
        <f>+'Zał.1_WPF_bazowy'!#REF!</f>
        <v>#REF!</v>
      </c>
      <c r="Y15" s="322" t="e">
        <f>+'Zał.1_WPF_bazowy'!#REF!</f>
        <v>#REF!</v>
      </c>
      <c r="Z15" s="322" t="e">
        <f>+'Zał.1_WPF_bazowy'!#REF!</f>
        <v>#REF!</v>
      </c>
      <c r="AA15" s="322" t="e">
        <f>+'Zał.1_WPF_bazowy'!#REF!</f>
        <v>#REF!</v>
      </c>
      <c r="AB15" s="322" t="e">
        <f>+'Zał.1_WPF_bazowy'!#REF!</f>
        <v>#REF!</v>
      </c>
      <c r="AC15" s="322" t="e">
        <f>+'Zał.1_WPF_bazowy'!#REF!</f>
        <v>#REF!</v>
      </c>
      <c r="AD15" s="322" t="e">
        <f>+'Zał.1_WPF_bazowy'!#REF!</f>
        <v>#REF!</v>
      </c>
      <c r="AE15" s="322" t="e">
        <f>+'Zał.1_WPF_bazowy'!#REF!</f>
        <v>#REF!</v>
      </c>
      <c r="AF15" s="322" t="e">
        <f>+'Zał.1_WPF_bazowy'!#REF!</f>
        <v>#REF!</v>
      </c>
      <c r="AG15" s="322" t="e">
        <f>+'Zał.1_WPF_bazowy'!#REF!</f>
        <v>#REF!</v>
      </c>
      <c r="AH15" s="322" t="e">
        <f>+'Zał.1_WPF_bazowy'!#REF!</f>
        <v>#REF!</v>
      </c>
      <c r="AI15" s="322" t="e">
        <f>+'Zał.1_WPF_bazowy'!#REF!</f>
        <v>#REF!</v>
      </c>
      <c r="AJ15" s="322" t="e">
        <f>+'Zał.1_WPF_bazowy'!#REF!</f>
        <v>#REF!</v>
      </c>
      <c r="AK15" s="322" t="e">
        <f>+'Zał.1_WPF_bazowy'!#REF!</f>
        <v>#REF!</v>
      </c>
      <c r="AL15" s="322" t="e">
        <f>+'Zał.1_WPF_bazowy'!#REF!</f>
        <v>#REF!</v>
      </c>
      <c r="AM15" s="322" t="e">
        <f>+'Zał.1_WPF_bazowy'!#REF!</f>
        <v>#REF!</v>
      </c>
      <c r="AN15" s="323" t="e">
        <f>+'Zał.1_WPF_bazowy'!#REF!</f>
        <v>#REF!</v>
      </c>
    </row>
    <row r="16" spans="1:40" ht="15" customHeight="1" outlineLevel="2">
      <c r="A16" s="48" t="s">
        <v>20</v>
      </c>
      <c r="B16" s="316"/>
      <c r="C16" s="317"/>
      <c r="D16" s="324"/>
      <c r="E16" s="316" t="s">
        <v>21</v>
      </c>
      <c r="F16" s="316"/>
      <c r="G16" s="318">
        <f>'Zał.1_WPF_bazowy'!F9</f>
        <v>0</v>
      </c>
      <c r="H16" s="319">
        <f>'Zał.1_WPF_bazowy'!G9</f>
        <v>0</v>
      </c>
      <c r="I16" s="319">
        <f>'Zał.1_WPF_bazowy'!H9</f>
        <v>0</v>
      </c>
      <c r="J16" s="320">
        <f>'Zał.1_WPF_bazowy'!I9</f>
        <v>0</v>
      </c>
      <c r="K16" s="321">
        <f>+'Zał.1_WPF_bazowy'!J9</f>
        <v>7466452</v>
      </c>
      <c r="L16" s="322">
        <f>+'Zał.1_WPF_bazowy'!K9</f>
        <v>0</v>
      </c>
      <c r="M16" s="322">
        <f>+'Zał.1_WPF_bazowy'!L9</f>
        <v>0</v>
      </c>
      <c r="N16" s="322">
        <f>+'Zał.1_WPF_bazowy'!M9</f>
        <v>0</v>
      </c>
      <c r="O16" s="322">
        <f>+'Zał.1_WPF_bazowy'!N9</f>
        <v>0</v>
      </c>
      <c r="P16" s="322">
        <f>+'Zał.1_WPF_bazowy'!O9</f>
        <v>0</v>
      </c>
      <c r="Q16" s="322">
        <f>+'Zał.1_WPF_bazowy'!P9</f>
        <v>0</v>
      </c>
      <c r="R16" s="322">
        <f>+'Zał.1_WPF_bazowy'!Q9</f>
        <v>0</v>
      </c>
      <c r="S16" s="322">
        <f>+'Zał.1_WPF_bazowy'!R9</f>
        <v>0</v>
      </c>
      <c r="T16" s="322">
        <f>+'Zał.1_WPF_bazowy'!S9</f>
        <v>0</v>
      </c>
      <c r="U16" s="322" t="e">
        <f>+'Zał.1_WPF_bazowy'!#REF!</f>
        <v>#REF!</v>
      </c>
      <c r="V16" s="322" t="e">
        <f>+'Zał.1_WPF_bazowy'!#REF!</f>
        <v>#REF!</v>
      </c>
      <c r="W16" s="322" t="e">
        <f>+'Zał.1_WPF_bazowy'!#REF!</f>
        <v>#REF!</v>
      </c>
      <c r="X16" s="322" t="e">
        <f>+'Zał.1_WPF_bazowy'!#REF!</f>
        <v>#REF!</v>
      </c>
      <c r="Y16" s="322" t="e">
        <f>+'Zał.1_WPF_bazowy'!#REF!</f>
        <v>#REF!</v>
      </c>
      <c r="Z16" s="322" t="e">
        <f>+'Zał.1_WPF_bazowy'!#REF!</f>
        <v>#REF!</v>
      </c>
      <c r="AA16" s="322" t="e">
        <f>+'Zał.1_WPF_bazowy'!#REF!</f>
        <v>#REF!</v>
      </c>
      <c r="AB16" s="322" t="e">
        <f>+'Zał.1_WPF_bazowy'!#REF!</f>
        <v>#REF!</v>
      </c>
      <c r="AC16" s="322" t="e">
        <f>+'Zał.1_WPF_bazowy'!#REF!</f>
        <v>#REF!</v>
      </c>
      <c r="AD16" s="322" t="e">
        <f>+'Zał.1_WPF_bazowy'!#REF!</f>
        <v>#REF!</v>
      </c>
      <c r="AE16" s="322" t="e">
        <f>+'Zał.1_WPF_bazowy'!#REF!</f>
        <v>#REF!</v>
      </c>
      <c r="AF16" s="322" t="e">
        <f>+'Zał.1_WPF_bazowy'!#REF!</f>
        <v>#REF!</v>
      </c>
      <c r="AG16" s="322" t="e">
        <f>+'Zał.1_WPF_bazowy'!#REF!</f>
        <v>#REF!</v>
      </c>
      <c r="AH16" s="322" t="e">
        <f>+'Zał.1_WPF_bazowy'!#REF!</f>
        <v>#REF!</v>
      </c>
      <c r="AI16" s="322" t="e">
        <f>+'Zał.1_WPF_bazowy'!#REF!</f>
        <v>#REF!</v>
      </c>
      <c r="AJ16" s="322" t="e">
        <f>+'Zał.1_WPF_bazowy'!#REF!</f>
        <v>#REF!</v>
      </c>
      <c r="AK16" s="322" t="e">
        <f>+'Zał.1_WPF_bazowy'!#REF!</f>
        <v>#REF!</v>
      </c>
      <c r="AL16" s="322" t="e">
        <f>+'Zał.1_WPF_bazowy'!#REF!</f>
        <v>#REF!</v>
      </c>
      <c r="AM16" s="322" t="e">
        <f>+'Zał.1_WPF_bazowy'!#REF!</f>
        <v>#REF!</v>
      </c>
      <c r="AN16" s="323" t="e">
        <f>+'Zał.1_WPF_bazowy'!#REF!</f>
        <v>#REF!</v>
      </c>
    </row>
    <row r="17" spans="1:40" ht="14.25" customHeight="1" outlineLevel="2">
      <c r="A17" s="48" t="s">
        <v>22</v>
      </c>
      <c r="B17" s="316"/>
      <c r="C17" s="317"/>
      <c r="D17" s="324"/>
      <c r="E17" s="316" t="s">
        <v>23</v>
      </c>
      <c r="F17" s="316"/>
      <c r="G17" s="318">
        <f>'Zał.1_WPF_bazowy'!F10</f>
        <v>0</v>
      </c>
      <c r="H17" s="319">
        <f>'Zał.1_WPF_bazowy'!G10</f>
        <v>0</v>
      </c>
      <c r="I17" s="319">
        <f>'Zał.1_WPF_bazowy'!H10</f>
        <v>0</v>
      </c>
      <c r="J17" s="320">
        <f>'Zał.1_WPF_bazowy'!I10</f>
        <v>0</v>
      </c>
      <c r="K17" s="321">
        <f>+'Zał.1_WPF_bazowy'!J10</f>
        <v>5980345.21</v>
      </c>
      <c r="L17" s="322">
        <f>+'Zał.1_WPF_bazowy'!K10</f>
        <v>0</v>
      </c>
      <c r="M17" s="322">
        <f>+'Zał.1_WPF_bazowy'!L10</f>
        <v>0</v>
      </c>
      <c r="N17" s="322">
        <f>+'Zał.1_WPF_bazowy'!M10</f>
        <v>0</v>
      </c>
      <c r="O17" s="322">
        <f>+'Zał.1_WPF_bazowy'!N10</f>
        <v>0</v>
      </c>
      <c r="P17" s="322">
        <f>+'Zał.1_WPF_bazowy'!O10</f>
        <v>0</v>
      </c>
      <c r="Q17" s="322">
        <f>+'Zał.1_WPF_bazowy'!P10</f>
        <v>0</v>
      </c>
      <c r="R17" s="322">
        <f>+'Zał.1_WPF_bazowy'!Q10</f>
        <v>0</v>
      </c>
      <c r="S17" s="322">
        <f>+'Zał.1_WPF_bazowy'!R10</f>
        <v>0</v>
      </c>
      <c r="T17" s="322">
        <f>+'Zał.1_WPF_bazowy'!S10</f>
        <v>0</v>
      </c>
      <c r="U17" s="322" t="e">
        <f>+'Zał.1_WPF_bazowy'!#REF!</f>
        <v>#REF!</v>
      </c>
      <c r="V17" s="322" t="e">
        <f>+'Zał.1_WPF_bazowy'!#REF!</f>
        <v>#REF!</v>
      </c>
      <c r="W17" s="322" t="e">
        <f>+'Zał.1_WPF_bazowy'!#REF!</f>
        <v>#REF!</v>
      </c>
      <c r="X17" s="322" t="e">
        <f>+'Zał.1_WPF_bazowy'!#REF!</f>
        <v>#REF!</v>
      </c>
      <c r="Y17" s="322" t="e">
        <f>+'Zał.1_WPF_bazowy'!#REF!</f>
        <v>#REF!</v>
      </c>
      <c r="Z17" s="322" t="e">
        <f>+'Zał.1_WPF_bazowy'!#REF!</f>
        <v>#REF!</v>
      </c>
      <c r="AA17" s="322" t="e">
        <f>+'Zał.1_WPF_bazowy'!#REF!</f>
        <v>#REF!</v>
      </c>
      <c r="AB17" s="322" t="e">
        <f>+'Zał.1_WPF_bazowy'!#REF!</f>
        <v>#REF!</v>
      </c>
      <c r="AC17" s="322" t="e">
        <f>+'Zał.1_WPF_bazowy'!#REF!</f>
        <v>#REF!</v>
      </c>
      <c r="AD17" s="322" t="e">
        <f>+'Zał.1_WPF_bazowy'!#REF!</f>
        <v>#REF!</v>
      </c>
      <c r="AE17" s="322" t="e">
        <f>+'Zał.1_WPF_bazowy'!#REF!</f>
        <v>#REF!</v>
      </c>
      <c r="AF17" s="322" t="e">
        <f>+'Zał.1_WPF_bazowy'!#REF!</f>
        <v>#REF!</v>
      </c>
      <c r="AG17" s="322" t="e">
        <f>+'Zał.1_WPF_bazowy'!#REF!</f>
        <v>#REF!</v>
      </c>
      <c r="AH17" s="322" t="e">
        <f>+'Zał.1_WPF_bazowy'!#REF!</f>
        <v>#REF!</v>
      </c>
      <c r="AI17" s="322" t="e">
        <f>+'Zał.1_WPF_bazowy'!#REF!</f>
        <v>#REF!</v>
      </c>
      <c r="AJ17" s="322" t="e">
        <f>+'Zał.1_WPF_bazowy'!#REF!</f>
        <v>#REF!</v>
      </c>
      <c r="AK17" s="322" t="e">
        <f>+'Zał.1_WPF_bazowy'!#REF!</f>
        <v>#REF!</v>
      </c>
      <c r="AL17" s="322" t="e">
        <f>+'Zał.1_WPF_bazowy'!#REF!</f>
        <v>#REF!</v>
      </c>
      <c r="AM17" s="322" t="e">
        <f>+'Zał.1_WPF_bazowy'!#REF!</f>
        <v>#REF!</v>
      </c>
      <c r="AN17" s="323" t="e">
        <f>+'Zał.1_WPF_bazowy'!#REF!</f>
        <v>#REF!</v>
      </c>
    </row>
    <row r="18" spans="1:40" ht="14.25" customHeight="1" outlineLevel="2">
      <c r="A18" s="48" t="s">
        <v>24</v>
      </c>
      <c r="B18" s="316"/>
      <c r="C18" s="317"/>
      <c r="D18" s="316" t="s">
        <v>25</v>
      </c>
      <c r="E18" s="316"/>
      <c r="F18" s="316"/>
      <c r="G18" s="318">
        <f>'Zał.1_WPF_bazowy'!F11</f>
        <v>5591089.83</v>
      </c>
      <c r="H18" s="319">
        <f>'Zał.1_WPF_bazowy'!G11</f>
        <v>2650951.14</v>
      </c>
      <c r="I18" s="319">
        <f>'Zał.1_WPF_bazowy'!H11</f>
        <v>5708395.48</v>
      </c>
      <c r="J18" s="320">
        <f>'Zał.1_WPF_bazowy'!I11</f>
        <v>5020533.81</v>
      </c>
      <c r="K18" s="321">
        <f>+'Zał.1_WPF_bazowy'!J11</f>
        <v>914995.71</v>
      </c>
      <c r="L18" s="322">
        <f>+'Zał.1_WPF_bazowy'!K11</f>
        <v>0</v>
      </c>
      <c r="M18" s="322">
        <f>+'Zał.1_WPF_bazowy'!L11</f>
        <v>0</v>
      </c>
      <c r="N18" s="322">
        <f>+'Zał.1_WPF_bazowy'!M11</f>
        <v>0</v>
      </c>
      <c r="O18" s="322">
        <f>+'Zał.1_WPF_bazowy'!N11</f>
        <v>0</v>
      </c>
      <c r="P18" s="322">
        <f>+'Zał.1_WPF_bazowy'!O11</f>
        <v>0</v>
      </c>
      <c r="Q18" s="322">
        <f>+'Zał.1_WPF_bazowy'!P11</f>
        <v>0</v>
      </c>
      <c r="R18" s="322">
        <f>+'Zał.1_WPF_bazowy'!Q11</f>
        <v>0</v>
      </c>
      <c r="S18" s="322">
        <f>+'Zał.1_WPF_bazowy'!R11</f>
        <v>0</v>
      </c>
      <c r="T18" s="322">
        <f>+'Zał.1_WPF_bazowy'!S11</f>
        <v>0</v>
      </c>
      <c r="U18" s="322" t="e">
        <f>+'Zał.1_WPF_bazowy'!#REF!</f>
        <v>#REF!</v>
      </c>
      <c r="V18" s="322" t="e">
        <f>+'Zał.1_WPF_bazowy'!#REF!</f>
        <v>#REF!</v>
      </c>
      <c r="W18" s="322" t="e">
        <f>+'Zał.1_WPF_bazowy'!#REF!</f>
        <v>#REF!</v>
      </c>
      <c r="X18" s="322" t="e">
        <f>+'Zał.1_WPF_bazowy'!#REF!</f>
        <v>#REF!</v>
      </c>
      <c r="Y18" s="322" t="e">
        <f>+'Zał.1_WPF_bazowy'!#REF!</f>
        <v>#REF!</v>
      </c>
      <c r="Z18" s="322" t="e">
        <f>+'Zał.1_WPF_bazowy'!#REF!</f>
        <v>#REF!</v>
      </c>
      <c r="AA18" s="322" t="e">
        <f>+'Zał.1_WPF_bazowy'!#REF!</f>
        <v>#REF!</v>
      </c>
      <c r="AB18" s="322" t="e">
        <f>+'Zał.1_WPF_bazowy'!#REF!</f>
        <v>#REF!</v>
      </c>
      <c r="AC18" s="322" t="e">
        <f>+'Zał.1_WPF_bazowy'!#REF!</f>
        <v>#REF!</v>
      </c>
      <c r="AD18" s="322" t="e">
        <f>+'Zał.1_WPF_bazowy'!#REF!</f>
        <v>#REF!</v>
      </c>
      <c r="AE18" s="322" t="e">
        <f>+'Zał.1_WPF_bazowy'!#REF!</f>
        <v>#REF!</v>
      </c>
      <c r="AF18" s="322" t="e">
        <f>+'Zał.1_WPF_bazowy'!#REF!</f>
        <v>#REF!</v>
      </c>
      <c r="AG18" s="322" t="e">
        <f>+'Zał.1_WPF_bazowy'!#REF!</f>
        <v>#REF!</v>
      </c>
      <c r="AH18" s="322" t="e">
        <f>+'Zał.1_WPF_bazowy'!#REF!</f>
        <v>#REF!</v>
      </c>
      <c r="AI18" s="322" t="e">
        <f>+'Zał.1_WPF_bazowy'!#REF!</f>
        <v>#REF!</v>
      </c>
      <c r="AJ18" s="322" t="e">
        <f>+'Zał.1_WPF_bazowy'!#REF!</f>
        <v>#REF!</v>
      </c>
      <c r="AK18" s="322" t="e">
        <f>+'Zał.1_WPF_bazowy'!#REF!</f>
        <v>#REF!</v>
      </c>
      <c r="AL18" s="322" t="e">
        <f>+'Zał.1_WPF_bazowy'!#REF!</f>
        <v>#REF!</v>
      </c>
      <c r="AM18" s="322" t="e">
        <f>+'Zał.1_WPF_bazowy'!#REF!</f>
        <v>#REF!</v>
      </c>
      <c r="AN18" s="323" t="e">
        <f>+'Zał.1_WPF_bazowy'!#REF!</f>
        <v>#REF!</v>
      </c>
    </row>
    <row r="19" spans="1:40" ht="14.25" customHeight="1" outlineLevel="2">
      <c r="A19" s="48" t="s">
        <v>26</v>
      </c>
      <c r="B19" s="316"/>
      <c r="C19" s="317"/>
      <c r="D19" s="324"/>
      <c r="E19" s="316" t="s">
        <v>27</v>
      </c>
      <c r="F19" s="316"/>
      <c r="G19" s="318">
        <f>'Zał.1_WPF_bazowy'!F12</f>
        <v>1337141.05</v>
      </c>
      <c r="H19" s="319">
        <f>'Zał.1_WPF_bazowy'!G12</f>
        <v>26005.76</v>
      </c>
      <c r="I19" s="319">
        <f>'Zał.1_WPF_bazowy'!H12</f>
        <v>100000</v>
      </c>
      <c r="J19" s="320">
        <f>'Zał.1_WPF_bazowy'!I12</f>
        <v>159888.32</v>
      </c>
      <c r="K19" s="321">
        <f>+'Zał.1_WPF_bazowy'!J12</f>
        <v>125000</v>
      </c>
      <c r="L19" s="322">
        <f>+'Zał.1_WPF_bazowy'!K12</f>
        <v>0</v>
      </c>
      <c r="M19" s="322">
        <f>+'Zał.1_WPF_bazowy'!L12</f>
        <v>0</v>
      </c>
      <c r="N19" s="322">
        <f>+'Zał.1_WPF_bazowy'!M12</f>
        <v>0</v>
      </c>
      <c r="O19" s="322">
        <f>+'Zał.1_WPF_bazowy'!N12</f>
        <v>0</v>
      </c>
      <c r="P19" s="322">
        <f>+'Zał.1_WPF_bazowy'!O12</f>
        <v>0</v>
      </c>
      <c r="Q19" s="322">
        <f>+'Zał.1_WPF_bazowy'!P12</f>
        <v>0</v>
      </c>
      <c r="R19" s="322">
        <f>+'Zał.1_WPF_bazowy'!Q12</f>
        <v>0</v>
      </c>
      <c r="S19" s="322">
        <f>+'Zał.1_WPF_bazowy'!R12</f>
        <v>0</v>
      </c>
      <c r="T19" s="322">
        <f>+'Zał.1_WPF_bazowy'!S12</f>
        <v>0</v>
      </c>
      <c r="U19" s="322" t="e">
        <f>+'Zał.1_WPF_bazowy'!#REF!</f>
        <v>#REF!</v>
      </c>
      <c r="V19" s="322" t="e">
        <f>+'Zał.1_WPF_bazowy'!#REF!</f>
        <v>#REF!</v>
      </c>
      <c r="W19" s="322" t="e">
        <f>+'Zał.1_WPF_bazowy'!#REF!</f>
        <v>#REF!</v>
      </c>
      <c r="X19" s="322" t="e">
        <f>+'Zał.1_WPF_bazowy'!#REF!</f>
        <v>#REF!</v>
      </c>
      <c r="Y19" s="322" t="e">
        <f>+'Zał.1_WPF_bazowy'!#REF!</f>
        <v>#REF!</v>
      </c>
      <c r="Z19" s="322" t="e">
        <f>+'Zał.1_WPF_bazowy'!#REF!</f>
        <v>#REF!</v>
      </c>
      <c r="AA19" s="322" t="e">
        <f>+'Zał.1_WPF_bazowy'!#REF!</f>
        <v>#REF!</v>
      </c>
      <c r="AB19" s="322" t="e">
        <f>+'Zał.1_WPF_bazowy'!#REF!</f>
        <v>#REF!</v>
      </c>
      <c r="AC19" s="322" t="e">
        <f>+'Zał.1_WPF_bazowy'!#REF!</f>
        <v>#REF!</v>
      </c>
      <c r="AD19" s="322" t="e">
        <f>+'Zał.1_WPF_bazowy'!#REF!</f>
        <v>#REF!</v>
      </c>
      <c r="AE19" s="322" t="e">
        <f>+'Zał.1_WPF_bazowy'!#REF!</f>
        <v>#REF!</v>
      </c>
      <c r="AF19" s="322" t="e">
        <f>+'Zał.1_WPF_bazowy'!#REF!</f>
        <v>#REF!</v>
      </c>
      <c r="AG19" s="322" t="e">
        <f>+'Zał.1_WPF_bazowy'!#REF!</f>
        <v>#REF!</v>
      </c>
      <c r="AH19" s="322" t="e">
        <f>+'Zał.1_WPF_bazowy'!#REF!</f>
        <v>#REF!</v>
      </c>
      <c r="AI19" s="322" t="e">
        <f>+'Zał.1_WPF_bazowy'!#REF!</f>
        <v>#REF!</v>
      </c>
      <c r="AJ19" s="322" t="e">
        <f>+'Zał.1_WPF_bazowy'!#REF!</f>
        <v>#REF!</v>
      </c>
      <c r="AK19" s="322" t="e">
        <f>+'Zał.1_WPF_bazowy'!#REF!</f>
        <v>#REF!</v>
      </c>
      <c r="AL19" s="322" t="e">
        <f>+'Zał.1_WPF_bazowy'!#REF!</f>
        <v>#REF!</v>
      </c>
      <c r="AM19" s="322" t="e">
        <f>+'Zał.1_WPF_bazowy'!#REF!</f>
        <v>#REF!</v>
      </c>
      <c r="AN19" s="323" t="e">
        <f>+'Zał.1_WPF_bazowy'!#REF!</f>
        <v>#REF!</v>
      </c>
    </row>
    <row r="20" spans="1:40" ht="14.25" customHeight="1" outlineLevel="2">
      <c r="A20" s="48" t="s">
        <v>28</v>
      </c>
      <c r="B20" s="316"/>
      <c r="C20" s="317"/>
      <c r="D20" s="324"/>
      <c r="E20" s="316" t="s">
        <v>29</v>
      </c>
      <c r="F20" s="316"/>
      <c r="G20" s="318">
        <f>'Zał.1_WPF_bazowy'!F13</f>
        <v>0</v>
      </c>
      <c r="H20" s="319">
        <f>'Zał.1_WPF_bazowy'!G13</f>
        <v>0</v>
      </c>
      <c r="I20" s="319">
        <f>'Zał.1_WPF_bazowy'!H13</f>
        <v>0</v>
      </c>
      <c r="J20" s="320">
        <f>'Zał.1_WPF_bazowy'!I13</f>
        <v>0</v>
      </c>
      <c r="K20" s="321">
        <f>+'Zał.1_WPF_bazowy'!J13</f>
        <v>779995.71</v>
      </c>
      <c r="L20" s="322">
        <f>+'Zał.1_WPF_bazowy'!K13</f>
        <v>0</v>
      </c>
      <c r="M20" s="322">
        <f>+'Zał.1_WPF_bazowy'!L13</f>
        <v>0</v>
      </c>
      <c r="N20" s="322">
        <f>+'Zał.1_WPF_bazowy'!M13</f>
        <v>0</v>
      </c>
      <c r="O20" s="322">
        <f>+'Zał.1_WPF_bazowy'!N13</f>
        <v>0</v>
      </c>
      <c r="P20" s="322">
        <f>+'Zał.1_WPF_bazowy'!O13</f>
        <v>0</v>
      </c>
      <c r="Q20" s="322">
        <f>+'Zał.1_WPF_bazowy'!P13</f>
        <v>0</v>
      </c>
      <c r="R20" s="322">
        <f>+'Zał.1_WPF_bazowy'!Q13</f>
        <v>0</v>
      </c>
      <c r="S20" s="322">
        <f>+'Zał.1_WPF_bazowy'!R13</f>
        <v>0</v>
      </c>
      <c r="T20" s="322">
        <f>+'Zał.1_WPF_bazowy'!S13</f>
        <v>0</v>
      </c>
      <c r="U20" s="322" t="e">
        <f>+'Zał.1_WPF_bazowy'!#REF!</f>
        <v>#REF!</v>
      </c>
      <c r="V20" s="322" t="e">
        <f>+'Zał.1_WPF_bazowy'!#REF!</f>
        <v>#REF!</v>
      </c>
      <c r="W20" s="322" t="e">
        <f>+'Zał.1_WPF_bazowy'!#REF!</f>
        <v>#REF!</v>
      </c>
      <c r="X20" s="322" t="e">
        <f>+'Zał.1_WPF_bazowy'!#REF!</f>
        <v>#REF!</v>
      </c>
      <c r="Y20" s="322" t="e">
        <f>+'Zał.1_WPF_bazowy'!#REF!</f>
        <v>#REF!</v>
      </c>
      <c r="Z20" s="322" t="e">
        <f>+'Zał.1_WPF_bazowy'!#REF!</f>
        <v>#REF!</v>
      </c>
      <c r="AA20" s="322" t="e">
        <f>+'Zał.1_WPF_bazowy'!#REF!</f>
        <v>#REF!</v>
      </c>
      <c r="AB20" s="322" t="e">
        <f>+'Zał.1_WPF_bazowy'!#REF!</f>
        <v>#REF!</v>
      </c>
      <c r="AC20" s="322" t="e">
        <f>+'Zał.1_WPF_bazowy'!#REF!</f>
        <v>#REF!</v>
      </c>
      <c r="AD20" s="322" t="e">
        <f>+'Zał.1_WPF_bazowy'!#REF!</f>
        <v>#REF!</v>
      </c>
      <c r="AE20" s="322" t="e">
        <f>+'Zał.1_WPF_bazowy'!#REF!</f>
        <v>#REF!</v>
      </c>
      <c r="AF20" s="322" t="e">
        <f>+'Zał.1_WPF_bazowy'!#REF!</f>
        <v>#REF!</v>
      </c>
      <c r="AG20" s="322" t="e">
        <f>+'Zał.1_WPF_bazowy'!#REF!</f>
        <v>#REF!</v>
      </c>
      <c r="AH20" s="322" t="e">
        <f>+'Zał.1_WPF_bazowy'!#REF!</f>
        <v>#REF!</v>
      </c>
      <c r="AI20" s="322" t="e">
        <f>+'Zał.1_WPF_bazowy'!#REF!</f>
        <v>#REF!</v>
      </c>
      <c r="AJ20" s="322" t="e">
        <f>+'Zał.1_WPF_bazowy'!#REF!</f>
        <v>#REF!</v>
      </c>
      <c r="AK20" s="322" t="e">
        <f>+'Zał.1_WPF_bazowy'!#REF!</f>
        <v>#REF!</v>
      </c>
      <c r="AL20" s="322" t="e">
        <f>+'Zał.1_WPF_bazowy'!#REF!</f>
        <v>#REF!</v>
      </c>
      <c r="AM20" s="322" t="e">
        <f>+'Zał.1_WPF_bazowy'!#REF!</f>
        <v>#REF!</v>
      </c>
      <c r="AN20" s="323" t="e">
        <f>+'Zał.1_WPF_bazowy'!#REF!</f>
        <v>#REF!</v>
      </c>
    </row>
    <row r="21" spans="1:40" s="315" customFormat="1" ht="15" customHeight="1" outlineLevel="1">
      <c r="A21" s="307">
        <v>2</v>
      </c>
      <c r="B21" s="308" t="s">
        <v>357</v>
      </c>
      <c r="C21" s="309" t="s">
        <v>30</v>
      </c>
      <c r="D21" s="309"/>
      <c r="E21" s="309"/>
      <c r="F21" s="309"/>
      <c r="G21" s="310">
        <f>'Zał.1_WPF_bazowy'!F14</f>
        <v>34609335.7</v>
      </c>
      <c r="H21" s="311">
        <f>'Zał.1_WPF_bazowy'!G14</f>
        <v>31037203.93</v>
      </c>
      <c r="I21" s="311">
        <f>'Zał.1_WPF_bazowy'!H14</f>
        <v>40495660.86</v>
      </c>
      <c r="J21" s="312">
        <f>+J22+J28</f>
        <v>36384626.19</v>
      </c>
      <c r="K21" s="313">
        <f>+K22+K28</f>
        <v>34550862.44</v>
      </c>
      <c r="L21" s="314">
        <f aca="true" t="shared" si="1" ref="L21:AN21">+L22+L28</f>
        <v>29422594.709999997</v>
      </c>
      <c r="M21" s="314">
        <f t="shared" si="1"/>
        <v>29150000</v>
      </c>
      <c r="N21" s="314">
        <f t="shared" si="1"/>
        <v>29500000</v>
      </c>
      <c r="O21" s="314">
        <f t="shared" si="1"/>
        <v>29800000</v>
      </c>
      <c r="P21" s="314">
        <f t="shared" si="1"/>
        <v>30400000</v>
      </c>
      <c r="Q21" s="314">
        <f t="shared" si="1"/>
        <v>31000000</v>
      </c>
      <c r="R21" s="314">
        <f t="shared" si="1"/>
        <v>31500000</v>
      </c>
      <c r="S21" s="314">
        <f t="shared" si="1"/>
        <v>33000000</v>
      </c>
      <c r="T21" s="314">
        <f t="shared" si="1"/>
        <v>33446631.84</v>
      </c>
      <c r="U21" s="314" t="e">
        <f t="shared" si="1"/>
        <v>#REF!</v>
      </c>
      <c r="V21" s="314" t="e">
        <f t="shared" si="1"/>
        <v>#REF!</v>
      </c>
      <c r="W21" s="314" t="e">
        <f t="shared" si="1"/>
        <v>#REF!</v>
      </c>
      <c r="X21" s="314" t="e">
        <f t="shared" si="1"/>
        <v>#REF!</v>
      </c>
      <c r="Y21" s="314" t="e">
        <f t="shared" si="1"/>
        <v>#REF!</v>
      </c>
      <c r="Z21" s="314" t="e">
        <f t="shared" si="1"/>
        <v>#REF!</v>
      </c>
      <c r="AA21" s="314" t="e">
        <f t="shared" si="1"/>
        <v>#REF!</v>
      </c>
      <c r="AB21" s="314" t="e">
        <f t="shared" si="1"/>
        <v>#REF!</v>
      </c>
      <c r="AC21" s="314" t="e">
        <f t="shared" si="1"/>
        <v>#REF!</v>
      </c>
      <c r="AD21" s="314" t="e">
        <f t="shared" si="1"/>
        <v>#REF!</v>
      </c>
      <c r="AE21" s="314" t="e">
        <f t="shared" si="1"/>
        <v>#REF!</v>
      </c>
      <c r="AF21" s="314" t="e">
        <f t="shared" si="1"/>
        <v>#REF!</v>
      </c>
      <c r="AG21" s="314" t="e">
        <f t="shared" si="1"/>
        <v>#REF!</v>
      </c>
      <c r="AH21" s="314" t="e">
        <f t="shared" si="1"/>
        <v>#REF!</v>
      </c>
      <c r="AI21" s="314" t="e">
        <f t="shared" si="1"/>
        <v>#REF!</v>
      </c>
      <c r="AJ21" s="314" t="e">
        <f t="shared" si="1"/>
        <v>#REF!</v>
      </c>
      <c r="AK21" s="314" t="e">
        <f t="shared" si="1"/>
        <v>#REF!</v>
      </c>
      <c r="AL21" s="314" t="e">
        <f t="shared" si="1"/>
        <v>#REF!</v>
      </c>
      <c r="AM21" s="314" t="e">
        <f t="shared" si="1"/>
        <v>#REF!</v>
      </c>
      <c r="AN21" s="312" t="e">
        <f t="shared" si="1"/>
        <v>#REF!</v>
      </c>
    </row>
    <row r="22" spans="1:40" ht="14.25" customHeight="1" outlineLevel="2">
      <c r="A22" s="48" t="s">
        <v>31</v>
      </c>
      <c r="B22" s="316"/>
      <c r="C22" s="317"/>
      <c r="D22" s="316" t="s">
        <v>32</v>
      </c>
      <c r="E22" s="316"/>
      <c r="F22" s="316"/>
      <c r="G22" s="318">
        <f>'Zał.1_WPF_bazowy'!F15</f>
        <v>25207681.97</v>
      </c>
      <c r="H22" s="319">
        <f>'Zał.1_WPF_bazowy'!G15</f>
        <v>26129253.64</v>
      </c>
      <c r="I22" s="319">
        <f>'Zał.1_WPF_bazowy'!H15</f>
        <v>29218500.44</v>
      </c>
      <c r="J22" s="320">
        <f>'Zał.1_WPF_bazowy'!I15</f>
        <v>26785030.3</v>
      </c>
      <c r="K22" s="321">
        <f>+'Zał.1_WPF_bazowy'!J15</f>
        <v>27407575.16</v>
      </c>
      <c r="L22" s="322">
        <f>+'Zał.1_WPF_bazowy'!K15</f>
        <v>26878935.15</v>
      </c>
      <c r="M22" s="322">
        <f>+'Zał.1_WPF_bazowy'!L15</f>
        <v>27150000</v>
      </c>
      <c r="N22" s="322">
        <f>+'Zał.1_WPF_bazowy'!M15</f>
        <v>27420000</v>
      </c>
      <c r="O22" s="322">
        <f>+'Zał.1_WPF_bazowy'!N15</f>
        <v>27790000</v>
      </c>
      <c r="P22" s="322">
        <f>+'Zał.1_WPF_bazowy'!O15</f>
        <v>28230000</v>
      </c>
      <c r="Q22" s="322">
        <f>+'Zał.1_WPF_bazowy'!P15</f>
        <v>28670000</v>
      </c>
      <c r="R22" s="322">
        <f>+'Zał.1_WPF_bazowy'!Q15</f>
        <v>29140000</v>
      </c>
      <c r="S22" s="322">
        <f>+'Zał.1_WPF_bazowy'!R15</f>
        <v>29610000</v>
      </c>
      <c r="T22" s="322">
        <f>+'Zał.1_WPF_bazowy'!S15</f>
        <v>30060000</v>
      </c>
      <c r="U22" s="322" t="e">
        <f>+'Zał.1_WPF_bazowy'!#REF!</f>
        <v>#REF!</v>
      </c>
      <c r="V22" s="322" t="e">
        <f>+'Zał.1_WPF_bazowy'!#REF!</f>
        <v>#REF!</v>
      </c>
      <c r="W22" s="322" t="e">
        <f>+'Zał.1_WPF_bazowy'!#REF!</f>
        <v>#REF!</v>
      </c>
      <c r="X22" s="322" t="e">
        <f>+'Zał.1_WPF_bazowy'!#REF!</f>
        <v>#REF!</v>
      </c>
      <c r="Y22" s="322" t="e">
        <f>+'Zał.1_WPF_bazowy'!#REF!</f>
        <v>#REF!</v>
      </c>
      <c r="Z22" s="322" t="e">
        <f>+'Zał.1_WPF_bazowy'!#REF!</f>
        <v>#REF!</v>
      </c>
      <c r="AA22" s="322" t="e">
        <f>+'Zał.1_WPF_bazowy'!#REF!</f>
        <v>#REF!</v>
      </c>
      <c r="AB22" s="322" t="e">
        <f>+'Zał.1_WPF_bazowy'!#REF!</f>
        <v>#REF!</v>
      </c>
      <c r="AC22" s="322" t="e">
        <f>+'Zał.1_WPF_bazowy'!#REF!</f>
        <v>#REF!</v>
      </c>
      <c r="AD22" s="322" t="e">
        <f>+'Zał.1_WPF_bazowy'!#REF!</f>
        <v>#REF!</v>
      </c>
      <c r="AE22" s="322" t="e">
        <f>+'Zał.1_WPF_bazowy'!#REF!</f>
        <v>#REF!</v>
      </c>
      <c r="AF22" s="322" t="e">
        <f>+'Zał.1_WPF_bazowy'!#REF!</f>
        <v>#REF!</v>
      </c>
      <c r="AG22" s="322" t="e">
        <f>+'Zał.1_WPF_bazowy'!#REF!</f>
        <v>#REF!</v>
      </c>
      <c r="AH22" s="322" t="e">
        <f>+'Zał.1_WPF_bazowy'!#REF!</f>
        <v>#REF!</v>
      </c>
      <c r="AI22" s="322" t="e">
        <f>+'Zał.1_WPF_bazowy'!#REF!</f>
        <v>#REF!</v>
      </c>
      <c r="AJ22" s="322" t="e">
        <f>+'Zał.1_WPF_bazowy'!#REF!</f>
        <v>#REF!</v>
      </c>
      <c r="AK22" s="322" t="e">
        <f>+'Zał.1_WPF_bazowy'!#REF!</f>
        <v>#REF!</v>
      </c>
      <c r="AL22" s="322" t="e">
        <f>+'Zał.1_WPF_bazowy'!#REF!</f>
        <v>#REF!</v>
      </c>
      <c r="AM22" s="322" t="e">
        <f>+'Zał.1_WPF_bazowy'!#REF!</f>
        <v>#REF!</v>
      </c>
      <c r="AN22" s="323" t="e">
        <f>+'Zał.1_WPF_bazowy'!#REF!</f>
        <v>#REF!</v>
      </c>
    </row>
    <row r="23" spans="1:40" ht="14.25" customHeight="1" outlineLevel="2">
      <c r="A23" s="48" t="s">
        <v>33</v>
      </c>
      <c r="B23" s="316"/>
      <c r="C23" s="317"/>
      <c r="D23" s="324"/>
      <c r="E23" s="316" t="s">
        <v>34</v>
      </c>
      <c r="F23" s="316"/>
      <c r="G23" s="318">
        <f>'Zał.1_WPF_bazowy'!F16</f>
        <v>0</v>
      </c>
      <c r="H23" s="319">
        <f>'Zał.1_WPF_bazowy'!G16</f>
        <v>0</v>
      </c>
      <c r="I23" s="319">
        <f>'Zał.1_WPF_bazowy'!H16</f>
        <v>50000</v>
      </c>
      <c r="J23" s="320">
        <f>'Zał.1_WPF_bazowy'!I16</f>
        <v>0</v>
      </c>
      <c r="K23" s="321">
        <f>+'Zał.1_WPF_bazowy'!J16</f>
        <v>110000</v>
      </c>
      <c r="L23" s="322">
        <f>+'Zał.1_WPF_bazowy'!K16</f>
        <v>110000</v>
      </c>
      <c r="M23" s="322">
        <f>+'Zał.1_WPF_bazowy'!L16</f>
        <v>110000</v>
      </c>
      <c r="N23" s="322">
        <f>+'Zał.1_WPF_bazowy'!M16</f>
        <v>110000</v>
      </c>
      <c r="O23" s="322">
        <f>+'Zał.1_WPF_bazowy'!N16</f>
        <v>110000</v>
      </c>
      <c r="P23" s="322">
        <f>+'Zał.1_WPF_bazowy'!O16</f>
        <v>110000</v>
      </c>
      <c r="Q23" s="322">
        <f>+'Zał.1_WPF_bazowy'!P16</f>
        <v>110000</v>
      </c>
      <c r="R23" s="322">
        <f>+'Zał.1_WPF_bazowy'!Q16</f>
        <v>110000</v>
      </c>
      <c r="S23" s="322">
        <f>+'Zał.1_WPF_bazowy'!R16</f>
        <v>101000</v>
      </c>
      <c r="T23" s="322">
        <f>+'Zał.1_WPF_bazowy'!S16</f>
        <v>59000</v>
      </c>
      <c r="U23" s="322" t="e">
        <f>+'Zał.1_WPF_bazowy'!#REF!</f>
        <v>#REF!</v>
      </c>
      <c r="V23" s="322" t="e">
        <f>+'Zał.1_WPF_bazowy'!#REF!</f>
        <v>#REF!</v>
      </c>
      <c r="W23" s="322" t="e">
        <f>+'Zał.1_WPF_bazowy'!#REF!</f>
        <v>#REF!</v>
      </c>
      <c r="X23" s="322" t="e">
        <f>+'Zał.1_WPF_bazowy'!#REF!</f>
        <v>#REF!</v>
      </c>
      <c r="Y23" s="322" t="e">
        <f>+'Zał.1_WPF_bazowy'!#REF!</f>
        <v>#REF!</v>
      </c>
      <c r="Z23" s="322" t="e">
        <f>+'Zał.1_WPF_bazowy'!#REF!</f>
        <v>#REF!</v>
      </c>
      <c r="AA23" s="322" t="e">
        <f>+'Zał.1_WPF_bazowy'!#REF!</f>
        <v>#REF!</v>
      </c>
      <c r="AB23" s="322" t="e">
        <f>+'Zał.1_WPF_bazowy'!#REF!</f>
        <v>#REF!</v>
      </c>
      <c r="AC23" s="322" t="e">
        <f>+'Zał.1_WPF_bazowy'!#REF!</f>
        <v>#REF!</v>
      </c>
      <c r="AD23" s="322" t="e">
        <f>+'Zał.1_WPF_bazowy'!#REF!</f>
        <v>#REF!</v>
      </c>
      <c r="AE23" s="322" t="e">
        <f>+'Zał.1_WPF_bazowy'!#REF!</f>
        <v>#REF!</v>
      </c>
      <c r="AF23" s="322" t="e">
        <f>+'Zał.1_WPF_bazowy'!#REF!</f>
        <v>#REF!</v>
      </c>
      <c r="AG23" s="322" t="e">
        <f>+'Zał.1_WPF_bazowy'!#REF!</f>
        <v>#REF!</v>
      </c>
      <c r="AH23" s="322" t="e">
        <f>+'Zał.1_WPF_bazowy'!#REF!</f>
        <v>#REF!</v>
      </c>
      <c r="AI23" s="322" t="e">
        <f>+'Zał.1_WPF_bazowy'!#REF!</f>
        <v>#REF!</v>
      </c>
      <c r="AJ23" s="322" t="e">
        <f>+'Zał.1_WPF_bazowy'!#REF!</f>
        <v>#REF!</v>
      </c>
      <c r="AK23" s="322" t="e">
        <f>+'Zał.1_WPF_bazowy'!#REF!</f>
        <v>#REF!</v>
      </c>
      <c r="AL23" s="322" t="e">
        <f>+'Zał.1_WPF_bazowy'!#REF!</f>
        <v>#REF!</v>
      </c>
      <c r="AM23" s="322" t="e">
        <f>+'Zał.1_WPF_bazowy'!#REF!</f>
        <v>#REF!</v>
      </c>
      <c r="AN23" s="323" t="e">
        <f>+'Zał.1_WPF_bazowy'!#REF!</f>
        <v>#REF!</v>
      </c>
    </row>
    <row r="24" spans="1:40" ht="69" customHeight="1" outlineLevel="2">
      <c r="A24" s="48" t="s">
        <v>35</v>
      </c>
      <c r="B24" s="316"/>
      <c r="C24" s="317"/>
      <c r="D24" s="324"/>
      <c r="E24" s="324"/>
      <c r="F24" s="316" t="s">
        <v>36</v>
      </c>
      <c r="G24" s="318">
        <f>'Zał.1_WPF_bazowy'!F17</f>
        <v>0</v>
      </c>
      <c r="H24" s="319">
        <f>'Zał.1_WPF_bazowy'!G17</f>
        <v>0</v>
      </c>
      <c r="I24" s="319">
        <f>'Zał.1_WPF_bazowy'!H17</f>
        <v>0</v>
      </c>
      <c r="J24" s="320">
        <f>'Zał.1_WPF_bazowy'!I17</f>
        <v>0</v>
      </c>
      <c r="K24" s="321">
        <f>+'Zał.1_WPF_bazowy'!J17</f>
        <v>0</v>
      </c>
      <c r="L24" s="322">
        <f>+'Zał.1_WPF_bazowy'!K17</f>
        <v>0</v>
      </c>
      <c r="M24" s="322">
        <f>+'Zał.1_WPF_bazowy'!L17</f>
        <v>0</v>
      </c>
      <c r="N24" s="322">
        <f>+'Zał.1_WPF_bazowy'!M17</f>
        <v>0</v>
      </c>
      <c r="O24" s="322">
        <f>+'Zał.1_WPF_bazowy'!N17</f>
        <v>0</v>
      </c>
      <c r="P24" s="322">
        <f>+'Zał.1_WPF_bazowy'!O17</f>
        <v>0</v>
      </c>
      <c r="Q24" s="322">
        <f>+'Zał.1_WPF_bazowy'!P17</f>
        <v>0</v>
      </c>
      <c r="R24" s="322">
        <f>+'Zał.1_WPF_bazowy'!Q17</f>
        <v>0</v>
      </c>
      <c r="S24" s="322">
        <f>+'Zał.1_WPF_bazowy'!R17</f>
        <v>0</v>
      </c>
      <c r="T24" s="322">
        <f>+'Zał.1_WPF_bazowy'!S17</f>
        <v>0</v>
      </c>
      <c r="U24" s="322" t="e">
        <f>+'Zał.1_WPF_bazowy'!#REF!</f>
        <v>#REF!</v>
      </c>
      <c r="V24" s="322" t="e">
        <f>+'Zał.1_WPF_bazowy'!#REF!</f>
        <v>#REF!</v>
      </c>
      <c r="W24" s="322" t="e">
        <f>+'Zał.1_WPF_bazowy'!#REF!</f>
        <v>#REF!</v>
      </c>
      <c r="X24" s="322" t="e">
        <f>+'Zał.1_WPF_bazowy'!#REF!</f>
        <v>#REF!</v>
      </c>
      <c r="Y24" s="322" t="e">
        <f>+'Zał.1_WPF_bazowy'!#REF!</f>
        <v>#REF!</v>
      </c>
      <c r="Z24" s="322" t="e">
        <f>+'Zał.1_WPF_bazowy'!#REF!</f>
        <v>#REF!</v>
      </c>
      <c r="AA24" s="322" t="e">
        <f>+'Zał.1_WPF_bazowy'!#REF!</f>
        <v>#REF!</v>
      </c>
      <c r="AB24" s="322" t="e">
        <f>+'Zał.1_WPF_bazowy'!#REF!</f>
        <v>#REF!</v>
      </c>
      <c r="AC24" s="322" t="e">
        <f>+'Zał.1_WPF_bazowy'!#REF!</f>
        <v>#REF!</v>
      </c>
      <c r="AD24" s="322" t="e">
        <f>+'Zał.1_WPF_bazowy'!#REF!</f>
        <v>#REF!</v>
      </c>
      <c r="AE24" s="322" t="e">
        <f>+'Zał.1_WPF_bazowy'!#REF!</f>
        <v>#REF!</v>
      </c>
      <c r="AF24" s="322" t="e">
        <f>+'Zał.1_WPF_bazowy'!#REF!</f>
        <v>#REF!</v>
      </c>
      <c r="AG24" s="322" t="e">
        <f>+'Zał.1_WPF_bazowy'!#REF!</f>
        <v>#REF!</v>
      </c>
      <c r="AH24" s="322" t="e">
        <f>+'Zał.1_WPF_bazowy'!#REF!</f>
        <v>#REF!</v>
      </c>
      <c r="AI24" s="322" t="e">
        <f>+'Zał.1_WPF_bazowy'!#REF!</f>
        <v>#REF!</v>
      </c>
      <c r="AJ24" s="322" t="e">
        <f>+'Zał.1_WPF_bazowy'!#REF!</f>
        <v>#REF!</v>
      </c>
      <c r="AK24" s="322" t="e">
        <f>+'Zał.1_WPF_bazowy'!#REF!</f>
        <v>#REF!</v>
      </c>
      <c r="AL24" s="322" t="e">
        <f>+'Zał.1_WPF_bazowy'!#REF!</f>
        <v>#REF!</v>
      </c>
      <c r="AM24" s="322" t="e">
        <f>+'Zał.1_WPF_bazowy'!#REF!</f>
        <v>#REF!</v>
      </c>
      <c r="AN24" s="323" t="e">
        <f>+'Zał.1_WPF_bazowy'!#REF!</f>
        <v>#REF!</v>
      </c>
    </row>
    <row r="25" spans="1:40" ht="48" customHeight="1" outlineLevel="2">
      <c r="A25" s="48" t="s">
        <v>37</v>
      </c>
      <c r="B25" s="316"/>
      <c r="C25" s="317"/>
      <c r="D25" s="324"/>
      <c r="E25" s="316" t="s">
        <v>38</v>
      </c>
      <c r="F25" s="316"/>
      <c r="G25" s="325" t="s">
        <v>39</v>
      </c>
      <c r="H25" s="326" t="s">
        <v>39</v>
      </c>
      <c r="I25" s="326" t="s">
        <v>39</v>
      </c>
      <c r="J25" s="327" t="s">
        <v>39</v>
      </c>
      <c r="K25" s="321">
        <f>+'Zał.1_WPF_bazowy'!J18</f>
        <v>0</v>
      </c>
      <c r="L25" s="322">
        <f>+'Zał.1_WPF_bazowy'!K18</f>
        <v>0</v>
      </c>
      <c r="M25" s="322">
        <f>+'Zał.1_WPF_bazowy'!L18</f>
        <v>0</v>
      </c>
      <c r="N25" s="322">
        <f>+'Zał.1_WPF_bazowy'!M18</f>
        <v>0</v>
      </c>
      <c r="O25" s="322">
        <f>+'Zał.1_WPF_bazowy'!N18</f>
        <v>0</v>
      </c>
      <c r="P25" s="322">
        <f>+'Zał.1_WPF_bazowy'!O18</f>
        <v>0</v>
      </c>
      <c r="Q25" s="322">
        <f>+'Zał.1_WPF_bazowy'!P18</f>
        <v>0</v>
      </c>
      <c r="R25" s="322">
        <f>+'Zał.1_WPF_bazowy'!Q18</f>
        <v>0</v>
      </c>
      <c r="S25" s="322">
        <f>+'Zał.1_WPF_bazowy'!R18</f>
        <v>0</v>
      </c>
      <c r="T25" s="322">
        <f>+'Zał.1_WPF_bazowy'!S18</f>
        <v>0</v>
      </c>
      <c r="U25" s="322" t="e">
        <f>+'Zał.1_WPF_bazowy'!#REF!</f>
        <v>#REF!</v>
      </c>
      <c r="V25" s="322" t="e">
        <f>+'Zał.1_WPF_bazowy'!#REF!</f>
        <v>#REF!</v>
      </c>
      <c r="W25" s="322" t="e">
        <f>+'Zał.1_WPF_bazowy'!#REF!</f>
        <v>#REF!</v>
      </c>
      <c r="X25" s="322" t="e">
        <f>+'Zał.1_WPF_bazowy'!#REF!</f>
        <v>#REF!</v>
      </c>
      <c r="Y25" s="322" t="e">
        <f>+'Zał.1_WPF_bazowy'!#REF!</f>
        <v>#REF!</v>
      </c>
      <c r="Z25" s="322" t="e">
        <f>+'Zał.1_WPF_bazowy'!#REF!</f>
        <v>#REF!</v>
      </c>
      <c r="AA25" s="322" t="e">
        <f>+'Zał.1_WPF_bazowy'!#REF!</f>
        <v>#REF!</v>
      </c>
      <c r="AB25" s="322" t="e">
        <f>+'Zał.1_WPF_bazowy'!#REF!</f>
        <v>#REF!</v>
      </c>
      <c r="AC25" s="322" t="e">
        <f>+'Zał.1_WPF_bazowy'!#REF!</f>
        <v>#REF!</v>
      </c>
      <c r="AD25" s="322" t="e">
        <f>+'Zał.1_WPF_bazowy'!#REF!</f>
        <v>#REF!</v>
      </c>
      <c r="AE25" s="322" t="e">
        <f>+'Zał.1_WPF_bazowy'!#REF!</f>
        <v>#REF!</v>
      </c>
      <c r="AF25" s="322" t="e">
        <f>+'Zał.1_WPF_bazowy'!#REF!</f>
        <v>#REF!</v>
      </c>
      <c r="AG25" s="322" t="e">
        <f>+'Zał.1_WPF_bazowy'!#REF!</f>
        <v>#REF!</v>
      </c>
      <c r="AH25" s="322" t="e">
        <f>+'Zał.1_WPF_bazowy'!#REF!</f>
        <v>#REF!</v>
      </c>
      <c r="AI25" s="322" t="e">
        <f>+'Zał.1_WPF_bazowy'!#REF!</f>
        <v>#REF!</v>
      </c>
      <c r="AJ25" s="322" t="e">
        <f>+'Zał.1_WPF_bazowy'!#REF!</f>
        <v>#REF!</v>
      </c>
      <c r="AK25" s="322" t="e">
        <f>+'Zał.1_WPF_bazowy'!#REF!</f>
        <v>#REF!</v>
      </c>
      <c r="AL25" s="322" t="e">
        <f>+'Zał.1_WPF_bazowy'!#REF!</f>
        <v>#REF!</v>
      </c>
      <c r="AM25" s="322" t="e">
        <f>+'Zał.1_WPF_bazowy'!#REF!</f>
        <v>#REF!</v>
      </c>
      <c r="AN25" s="323" t="e">
        <f>+'Zał.1_WPF_bazowy'!#REF!</f>
        <v>#REF!</v>
      </c>
    </row>
    <row r="26" spans="1:40" ht="14.25" customHeight="1" outlineLevel="2">
      <c r="A26" s="48" t="s">
        <v>40</v>
      </c>
      <c r="B26" s="316"/>
      <c r="C26" s="317"/>
      <c r="D26" s="324"/>
      <c r="E26" s="316" t="s">
        <v>41</v>
      </c>
      <c r="F26" s="316"/>
      <c r="G26" s="318">
        <f>'Zał.1_WPF_bazowy'!F19</f>
        <v>464051.55</v>
      </c>
      <c r="H26" s="319">
        <f>'Zał.1_WPF_bazowy'!G19</f>
        <v>755389.64</v>
      </c>
      <c r="I26" s="319">
        <f>'Zał.1_WPF_bazowy'!H19</f>
        <v>884400</v>
      </c>
      <c r="J26" s="320">
        <f>'Zał.1_WPF_bazowy'!I19</f>
        <v>791159.57</v>
      </c>
      <c r="K26" s="321">
        <f>+'Zał.1_WPF_bazowy'!J19</f>
        <v>850000</v>
      </c>
      <c r="L26" s="322">
        <f>+'Zał.1_WPF_bazowy'!K19</f>
        <v>750000</v>
      </c>
      <c r="M26" s="322">
        <f>+'Zał.1_WPF_bazowy'!L19</f>
        <v>650000</v>
      </c>
      <c r="N26" s="322">
        <f>+'Zał.1_WPF_bazowy'!M19</f>
        <v>420000</v>
      </c>
      <c r="O26" s="322">
        <f>+'Zał.1_WPF_bazowy'!N19</f>
        <v>290000</v>
      </c>
      <c r="P26" s="322">
        <f>+'Zał.1_WPF_bazowy'!O19</f>
        <v>230000</v>
      </c>
      <c r="Q26" s="322">
        <f>+'Zał.1_WPF_bazowy'!P19</f>
        <v>170000</v>
      </c>
      <c r="R26" s="322">
        <f>+'Zał.1_WPF_bazowy'!Q19</f>
        <v>140000</v>
      </c>
      <c r="S26" s="322">
        <f>+'Zał.1_WPF_bazowy'!R19</f>
        <v>110000</v>
      </c>
      <c r="T26" s="322">
        <f>+'Zał.1_WPF_bazowy'!S19</f>
        <v>60000</v>
      </c>
      <c r="U26" s="322" t="e">
        <f>+'Zał.1_WPF_bazowy'!#REF!</f>
        <v>#REF!</v>
      </c>
      <c r="V26" s="322" t="e">
        <f>+'Zał.1_WPF_bazowy'!#REF!</f>
        <v>#REF!</v>
      </c>
      <c r="W26" s="322" t="e">
        <f>+'Zał.1_WPF_bazowy'!#REF!</f>
        <v>#REF!</v>
      </c>
      <c r="X26" s="322" t="e">
        <f>+'Zał.1_WPF_bazowy'!#REF!</f>
        <v>#REF!</v>
      </c>
      <c r="Y26" s="322" t="e">
        <f>+'Zał.1_WPF_bazowy'!#REF!</f>
        <v>#REF!</v>
      </c>
      <c r="Z26" s="322" t="e">
        <f>+'Zał.1_WPF_bazowy'!#REF!</f>
        <v>#REF!</v>
      </c>
      <c r="AA26" s="322" t="e">
        <f>+'Zał.1_WPF_bazowy'!#REF!</f>
        <v>#REF!</v>
      </c>
      <c r="AB26" s="322" t="e">
        <f>+'Zał.1_WPF_bazowy'!#REF!</f>
        <v>#REF!</v>
      </c>
      <c r="AC26" s="322" t="e">
        <f>+'Zał.1_WPF_bazowy'!#REF!</f>
        <v>#REF!</v>
      </c>
      <c r="AD26" s="322" t="e">
        <f>+'Zał.1_WPF_bazowy'!#REF!</f>
        <v>#REF!</v>
      </c>
      <c r="AE26" s="322" t="e">
        <f>+'Zał.1_WPF_bazowy'!#REF!</f>
        <v>#REF!</v>
      </c>
      <c r="AF26" s="322" t="e">
        <f>+'Zał.1_WPF_bazowy'!#REF!</f>
        <v>#REF!</v>
      </c>
      <c r="AG26" s="322" t="e">
        <f>+'Zał.1_WPF_bazowy'!#REF!</f>
        <v>#REF!</v>
      </c>
      <c r="AH26" s="322" t="e">
        <f>+'Zał.1_WPF_bazowy'!#REF!</f>
        <v>#REF!</v>
      </c>
      <c r="AI26" s="322" t="e">
        <f>+'Zał.1_WPF_bazowy'!#REF!</f>
        <v>#REF!</v>
      </c>
      <c r="AJ26" s="322" t="e">
        <f>+'Zał.1_WPF_bazowy'!#REF!</f>
        <v>#REF!</v>
      </c>
      <c r="AK26" s="322" t="e">
        <f>+'Zał.1_WPF_bazowy'!#REF!</f>
        <v>#REF!</v>
      </c>
      <c r="AL26" s="322" t="e">
        <f>+'Zał.1_WPF_bazowy'!#REF!</f>
        <v>#REF!</v>
      </c>
      <c r="AM26" s="322" t="e">
        <f>+'Zał.1_WPF_bazowy'!#REF!</f>
        <v>#REF!</v>
      </c>
      <c r="AN26" s="323" t="e">
        <f>+'Zał.1_WPF_bazowy'!#REF!</f>
        <v>#REF!</v>
      </c>
    </row>
    <row r="27" spans="1:40" ht="24" customHeight="1" outlineLevel="2">
      <c r="A27" s="48" t="s">
        <v>42</v>
      </c>
      <c r="B27" s="316"/>
      <c r="C27" s="317"/>
      <c r="D27" s="324"/>
      <c r="E27" s="324"/>
      <c r="F27" s="316" t="s">
        <v>358</v>
      </c>
      <c r="G27" s="318">
        <f>'Zał.1_WPF_bazowy'!F20</f>
        <v>464051.55</v>
      </c>
      <c r="H27" s="319">
        <f>'Zał.1_WPF_bazowy'!G20</f>
        <v>755389.64</v>
      </c>
      <c r="I27" s="319">
        <f>'Zał.1_WPF_bazowy'!H20</f>
        <v>884400</v>
      </c>
      <c r="J27" s="320">
        <f>'Zał.1_WPF_bazowy'!I20</f>
        <v>791159.57</v>
      </c>
      <c r="K27" s="321">
        <f>+'Zał.1_WPF_bazowy'!J20</f>
        <v>850000</v>
      </c>
      <c r="L27" s="322">
        <f>+'Zał.1_WPF_bazowy'!K20</f>
        <v>750000</v>
      </c>
      <c r="M27" s="322">
        <f>+'Zał.1_WPF_bazowy'!L20</f>
        <v>650000</v>
      </c>
      <c r="N27" s="322">
        <f>+'Zał.1_WPF_bazowy'!M20</f>
        <v>420000</v>
      </c>
      <c r="O27" s="322">
        <f>+'Zał.1_WPF_bazowy'!N20</f>
        <v>290000</v>
      </c>
      <c r="P27" s="322">
        <f>+'Zał.1_WPF_bazowy'!O20</f>
        <v>230000</v>
      </c>
      <c r="Q27" s="322">
        <f>+'Zał.1_WPF_bazowy'!P20</f>
        <v>170000</v>
      </c>
      <c r="R27" s="322">
        <f>+'Zał.1_WPF_bazowy'!Q20</f>
        <v>140000</v>
      </c>
      <c r="S27" s="322">
        <f>+'Zał.1_WPF_bazowy'!R20</f>
        <v>110000</v>
      </c>
      <c r="T27" s="322">
        <f>+'Zał.1_WPF_bazowy'!S20</f>
        <v>60000</v>
      </c>
      <c r="U27" s="322" t="e">
        <f>+'Zał.1_WPF_bazowy'!#REF!</f>
        <v>#REF!</v>
      </c>
      <c r="V27" s="322" t="e">
        <f>+'Zał.1_WPF_bazowy'!#REF!</f>
        <v>#REF!</v>
      </c>
      <c r="W27" s="322" t="e">
        <f>+'Zał.1_WPF_bazowy'!#REF!</f>
        <v>#REF!</v>
      </c>
      <c r="X27" s="322" t="e">
        <f>+'Zał.1_WPF_bazowy'!#REF!</f>
        <v>#REF!</v>
      </c>
      <c r="Y27" s="322" t="e">
        <f>+'Zał.1_WPF_bazowy'!#REF!</f>
        <v>#REF!</v>
      </c>
      <c r="Z27" s="322" t="e">
        <f>+'Zał.1_WPF_bazowy'!#REF!</f>
        <v>#REF!</v>
      </c>
      <c r="AA27" s="322" t="e">
        <f>+'Zał.1_WPF_bazowy'!#REF!</f>
        <v>#REF!</v>
      </c>
      <c r="AB27" s="322" t="e">
        <f>+'Zał.1_WPF_bazowy'!#REF!</f>
        <v>#REF!</v>
      </c>
      <c r="AC27" s="322" t="e">
        <f>+'Zał.1_WPF_bazowy'!#REF!</f>
        <v>#REF!</v>
      </c>
      <c r="AD27" s="322" t="e">
        <f>+'Zał.1_WPF_bazowy'!#REF!</f>
        <v>#REF!</v>
      </c>
      <c r="AE27" s="322" t="e">
        <f>+'Zał.1_WPF_bazowy'!#REF!</f>
        <v>#REF!</v>
      </c>
      <c r="AF27" s="322" t="e">
        <f>+'Zał.1_WPF_bazowy'!#REF!</f>
        <v>#REF!</v>
      </c>
      <c r="AG27" s="322" t="e">
        <f>+'Zał.1_WPF_bazowy'!#REF!</f>
        <v>#REF!</v>
      </c>
      <c r="AH27" s="322" t="e">
        <f>+'Zał.1_WPF_bazowy'!#REF!</f>
        <v>#REF!</v>
      </c>
      <c r="AI27" s="322" t="e">
        <f>+'Zał.1_WPF_bazowy'!#REF!</f>
        <v>#REF!</v>
      </c>
      <c r="AJ27" s="322" t="e">
        <f>+'Zał.1_WPF_bazowy'!#REF!</f>
        <v>#REF!</v>
      </c>
      <c r="AK27" s="322" t="e">
        <f>+'Zał.1_WPF_bazowy'!#REF!</f>
        <v>#REF!</v>
      </c>
      <c r="AL27" s="322" t="e">
        <f>+'Zał.1_WPF_bazowy'!#REF!</f>
        <v>#REF!</v>
      </c>
      <c r="AM27" s="322" t="e">
        <f>+'Zał.1_WPF_bazowy'!#REF!</f>
        <v>#REF!</v>
      </c>
      <c r="AN27" s="323" t="e">
        <f>+'Zał.1_WPF_bazowy'!#REF!</f>
        <v>#REF!</v>
      </c>
    </row>
    <row r="28" spans="1:40" ht="14.25" customHeight="1" outlineLevel="2">
      <c r="A28" s="48" t="s">
        <v>44</v>
      </c>
      <c r="B28" s="316"/>
      <c r="C28" s="317"/>
      <c r="D28" s="316" t="s">
        <v>45</v>
      </c>
      <c r="E28" s="316"/>
      <c r="F28" s="316"/>
      <c r="G28" s="318">
        <f>'Zał.1_WPF_bazowy'!F21</f>
        <v>9401653.73</v>
      </c>
      <c r="H28" s="319">
        <f>'Zał.1_WPF_bazowy'!G21</f>
        <v>4907950.29</v>
      </c>
      <c r="I28" s="319">
        <f>'Zał.1_WPF_bazowy'!H21</f>
        <v>11277160.42</v>
      </c>
      <c r="J28" s="320">
        <f>'Zał.1_WPF_bazowy'!I21</f>
        <v>9599595.89</v>
      </c>
      <c r="K28" s="321">
        <f>+'Zał.1_WPF_bazowy'!J21</f>
        <v>7143287.28</v>
      </c>
      <c r="L28" s="322">
        <f>+'Zał.1_WPF_bazowy'!K21</f>
        <v>2543659.56</v>
      </c>
      <c r="M28" s="322">
        <f>+'Zał.1_WPF_bazowy'!L21</f>
        <v>2000000</v>
      </c>
      <c r="N28" s="322">
        <f>+'Zał.1_WPF_bazowy'!M21</f>
        <v>2080000</v>
      </c>
      <c r="O28" s="322">
        <f>+'Zał.1_WPF_bazowy'!N21</f>
        <v>2010000</v>
      </c>
      <c r="P28" s="322">
        <f>+'Zał.1_WPF_bazowy'!O21</f>
        <v>2170000</v>
      </c>
      <c r="Q28" s="322">
        <f>+'Zał.1_WPF_bazowy'!P21</f>
        <v>2330000</v>
      </c>
      <c r="R28" s="322">
        <f>+'Zał.1_WPF_bazowy'!Q21</f>
        <v>2360000</v>
      </c>
      <c r="S28" s="322">
        <f>+'Zał.1_WPF_bazowy'!R21</f>
        <v>3390000</v>
      </c>
      <c r="T28" s="322">
        <f>+'Zał.1_WPF_bazowy'!S21</f>
        <v>3386631.84</v>
      </c>
      <c r="U28" s="322" t="e">
        <f>+'Zał.1_WPF_bazowy'!#REF!</f>
        <v>#REF!</v>
      </c>
      <c r="V28" s="322" t="e">
        <f>+'Zał.1_WPF_bazowy'!#REF!</f>
        <v>#REF!</v>
      </c>
      <c r="W28" s="322" t="e">
        <f>+'Zał.1_WPF_bazowy'!#REF!</f>
        <v>#REF!</v>
      </c>
      <c r="X28" s="322" t="e">
        <f>+'Zał.1_WPF_bazowy'!#REF!</f>
        <v>#REF!</v>
      </c>
      <c r="Y28" s="322" t="e">
        <f>+'Zał.1_WPF_bazowy'!#REF!</f>
        <v>#REF!</v>
      </c>
      <c r="Z28" s="322" t="e">
        <f>+'Zał.1_WPF_bazowy'!#REF!</f>
        <v>#REF!</v>
      </c>
      <c r="AA28" s="322" t="e">
        <f>+'Zał.1_WPF_bazowy'!#REF!</f>
        <v>#REF!</v>
      </c>
      <c r="AB28" s="322" t="e">
        <f>+'Zał.1_WPF_bazowy'!#REF!</f>
        <v>#REF!</v>
      </c>
      <c r="AC28" s="322" t="e">
        <f>+'Zał.1_WPF_bazowy'!#REF!</f>
        <v>#REF!</v>
      </c>
      <c r="AD28" s="322" t="e">
        <f>+'Zał.1_WPF_bazowy'!#REF!</f>
        <v>#REF!</v>
      </c>
      <c r="AE28" s="322" t="e">
        <f>+'Zał.1_WPF_bazowy'!#REF!</f>
        <v>#REF!</v>
      </c>
      <c r="AF28" s="322" t="e">
        <f>+'Zał.1_WPF_bazowy'!#REF!</f>
        <v>#REF!</v>
      </c>
      <c r="AG28" s="322" t="e">
        <f>+'Zał.1_WPF_bazowy'!#REF!</f>
        <v>#REF!</v>
      </c>
      <c r="AH28" s="322" t="e">
        <f>+'Zał.1_WPF_bazowy'!#REF!</f>
        <v>#REF!</v>
      </c>
      <c r="AI28" s="322" t="e">
        <f>+'Zał.1_WPF_bazowy'!#REF!</f>
        <v>#REF!</v>
      </c>
      <c r="AJ28" s="322" t="e">
        <f>+'Zał.1_WPF_bazowy'!#REF!</f>
        <v>#REF!</v>
      </c>
      <c r="AK28" s="322" t="e">
        <f>+'Zał.1_WPF_bazowy'!#REF!</f>
        <v>#REF!</v>
      </c>
      <c r="AL28" s="322" t="e">
        <f>+'Zał.1_WPF_bazowy'!#REF!</f>
        <v>#REF!</v>
      </c>
      <c r="AM28" s="322" t="e">
        <f>+'Zał.1_WPF_bazowy'!#REF!</f>
        <v>#REF!</v>
      </c>
      <c r="AN28" s="323" t="e">
        <f>+'Zał.1_WPF_bazowy'!#REF!</f>
        <v>#REF!</v>
      </c>
    </row>
    <row r="29" spans="1:40" s="315" customFormat="1" ht="12.75" customHeight="1" outlineLevel="1">
      <c r="A29" s="307">
        <v>3</v>
      </c>
      <c r="B29" s="308" t="s">
        <v>359</v>
      </c>
      <c r="C29" s="309" t="s">
        <v>46</v>
      </c>
      <c r="D29" s="309"/>
      <c r="E29" s="309"/>
      <c r="F29" s="309"/>
      <c r="G29" s="310">
        <f>'Zał.1_WPF_bazowy'!F22</f>
        <v>-3124459.69</v>
      </c>
      <c r="H29" s="311">
        <f>'Zał.1_WPF_bazowy'!G22</f>
        <v>26238.4</v>
      </c>
      <c r="I29" s="311">
        <f>'Zał.1_WPF_bazowy'!H22</f>
        <v>-4871540.93</v>
      </c>
      <c r="J29" s="312">
        <f>+J10-J21</f>
        <v>-1946205.9199999943</v>
      </c>
      <c r="K29" s="313">
        <f>+K10-K21</f>
        <v>-2607411.219999995</v>
      </c>
      <c r="L29" s="314">
        <f aca="true" t="shared" si="2" ref="L29:AN29">+L10-L21</f>
        <v>1300000.0000000037</v>
      </c>
      <c r="M29" s="314">
        <f t="shared" si="2"/>
        <v>1850000</v>
      </c>
      <c r="N29" s="314">
        <f t="shared" si="2"/>
        <v>2000000</v>
      </c>
      <c r="O29" s="314">
        <f t="shared" si="2"/>
        <v>2200000</v>
      </c>
      <c r="P29" s="314">
        <f t="shared" si="2"/>
        <v>2100000</v>
      </c>
      <c r="Q29" s="314">
        <f t="shared" si="2"/>
        <v>2000000</v>
      </c>
      <c r="R29" s="314">
        <f t="shared" si="2"/>
        <v>2000000</v>
      </c>
      <c r="S29" s="314">
        <f t="shared" si="2"/>
        <v>1000000</v>
      </c>
      <c r="T29" s="314">
        <f t="shared" si="2"/>
        <v>1053368.1600000001</v>
      </c>
      <c r="U29" s="314" t="e">
        <f t="shared" si="2"/>
        <v>#REF!</v>
      </c>
      <c r="V29" s="314" t="e">
        <f t="shared" si="2"/>
        <v>#REF!</v>
      </c>
      <c r="W29" s="314" t="e">
        <f t="shared" si="2"/>
        <v>#REF!</v>
      </c>
      <c r="X29" s="314" t="e">
        <f t="shared" si="2"/>
        <v>#REF!</v>
      </c>
      <c r="Y29" s="314" t="e">
        <f t="shared" si="2"/>
        <v>#REF!</v>
      </c>
      <c r="Z29" s="314" t="e">
        <f t="shared" si="2"/>
        <v>#REF!</v>
      </c>
      <c r="AA29" s="314" t="e">
        <f t="shared" si="2"/>
        <v>#REF!</v>
      </c>
      <c r="AB29" s="314" t="e">
        <f t="shared" si="2"/>
        <v>#REF!</v>
      </c>
      <c r="AC29" s="314" t="e">
        <f t="shared" si="2"/>
        <v>#REF!</v>
      </c>
      <c r="AD29" s="314" t="e">
        <f t="shared" si="2"/>
        <v>#REF!</v>
      </c>
      <c r="AE29" s="314" t="e">
        <f t="shared" si="2"/>
        <v>#REF!</v>
      </c>
      <c r="AF29" s="314" t="e">
        <f t="shared" si="2"/>
        <v>#REF!</v>
      </c>
      <c r="AG29" s="314" t="e">
        <f t="shared" si="2"/>
        <v>#REF!</v>
      </c>
      <c r="AH29" s="314" t="e">
        <f t="shared" si="2"/>
        <v>#REF!</v>
      </c>
      <c r="AI29" s="314" t="e">
        <f t="shared" si="2"/>
        <v>#REF!</v>
      </c>
      <c r="AJ29" s="314" t="e">
        <f t="shared" si="2"/>
        <v>#REF!</v>
      </c>
      <c r="AK29" s="314" t="e">
        <f t="shared" si="2"/>
        <v>#REF!</v>
      </c>
      <c r="AL29" s="314" t="e">
        <f t="shared" si="2"/>
        <v>#REF!</v>
      </c>
      <c r="AM29" s="314" t="e">
        <f t="shared" si="2"/>
        <v>#REF!</v>
      </c>
      <c r="AN29" s="312" t="e">
        <f t="shared" si="2"/>
        <v>#REF!</v>
      </c>
    </row>
    <row r="30" spans="1:40" s="315" customFormat="1" ht="15" customHeight="1" outlineLevel="1">
      <c r="A30" s="307">
        <v>4</v>
      </c>
      <c r="B30" s="308" t="s">
        <v>360</v>
      </c>
      <c r="C30" s="309" t="s">
        <v>47</v>
      </c>
      <c r="D30" s="309"/>
      <c r="E30" s="309"/>
      <c r="F30" s="309"/>
      <c r="G30" s="310">
        <f>'Zał.1_WPF_bazowy'!F23</f>
        <v>6000000</v>
      </c>
      <c r="H30" s="311">
        <f>'Zał.1_WPF_bazowy'!G23</f>
        <v>3600000</v>
      </c>
      <c r="I30" s="311">
        <f>'Zał.1_WPF_bazowy'!H23</f>
        <v>6775540.93</v>
      </c>
      <c r="J30" s="312">
        <f>+J31+J33+J35+J37</f>
        <v>6456793.84</v>
      </c>
      <c r="K30" s="313">
        <f>+K31+K33+K35+K37</f>
        <v>4861411.220000001</v>
      </c>
      <c r="L30" s="314">
        <f aca="true" t="shared" si="3" ref="L30:AN30">+L31+L33+L35+L37</f>
        <v>0</v>
      </c>
      <c r="M30" s="314">
        <f t="shared" si="3"/>
        <v>0</v>
      </c>
      <c r="N30" s="314">
        <f t="shared" si="3"/>
        <v>0</v>
      </c>
      <c r="O30" s="314">
        <f t="shared" si="3"/>
        <v>0</v>
      </c>
      <c r="P30" s="314">
        <f t="shared" si="3"/>
        <v>0</v>
      </c>
      <c r="Q30" s="314">
        <f t="shared" si="3"/>
        <v>0</v>
      </c>
      <c r="R30" s="314">
        <f t="shared" si="3"/>
        <v>0</v>
      </c>
      <c r="S30" s="314">
        <f t="shared" si="3"/>
        <v>0</v>
      </c>
      <c r="T30" s="314">
        <f t="shared" si="3"/>
        <v>0</v>
      </c>
      <c r="U30" s="314" t="e">
        <f t="shared" si="3"/>
        <v>#REF!</v>
      </c>
      <c r="V30" s="314" t="e">
        <f t="shared" si="3"/>
        <v>#REF!</v>
      </c>
      <c r="W30" s="314" t="e">
        <f t="shared" si="3"/>
        <v>#REF!</v>
      </c>
      <c r="X30" s="314" t="e">
        <f t="shared" si="3"/>
        <v>#REF!</v>
      </c>
      <c r="Y30" s="314" t="e">
        <f t="shared" si="3"/>
        <v>#REF!</v>
      </c>
      <c r="Z30" s="314" t="e">
        <f t="shared" si="3"/>
        <v>#REF!</v>
      </c>
      <c r="AA30" s="314" t="e">
        <f t="shared" si="3"/>
        <v>#REF!</v>
      </c>
      <c r="AB30" s="314" t="e">
        <f t="shared" si="3"/>
        <v>#REF!</v>
      </c>
      <c r="AC30" s="314" t="e">
        <f t="shared" si="3"/>
        <v>#REF!</v>
      </c>
      <c r="AD30" s="314" t="e">
        <f t="shared" si="3"/>
        <v>#REF!</v>
      </c>
      <c r="AE30" s="314" t="e">
        <f t="shared" si="3"/>
        <v>#REF!</v>
      </c>
      <c r="AF30" s="314" t="e">
        <f t="shared" si="3"/>
        <v>#REF!</v>
      </c>
      <c r="AG30" s="314" t="e">
        <f t="shared" si="3"/>
        <v>#REF!</v>
      </c>
      <c r="AH30" s="314" t="e">
        <f t="shared" si="3"/>
        <v>#REF!</v>
      </c>
      <c r="AI30" s="314" t="e">
        <f t="shared" si="3"/>
        <v>#REF!</v>
      </c>
      <c r="AJ30" s="314" t="e">
        <f t="shared" si="3"/>
        <v>#REF!</v>
      </c>
      <c r="AK30" s="314" t="e">
        <f t="shared" si="3"/>
        <v>#REF!</v>
      </c>
      <c r="AL30" s="314" t="e">
        <f t="shared" si="3"/>
        <v>#REF!</v>
      </c>
      <c r="AM30" s="314" t="e">
        <f t="shared" si="3"/>
        <v>#REF!</v>
      </c>
      <c r="AN30" s="312" t="e">
        <f t="shared" si="3"/>
        <v>#REF!</v>
      </c>
    </row>
    <row r="31" spans="1:40" ht="14.25" customHeight="1" outlineLevel="2">
      <c r="A31" s="48" t="s">
        <v>48</v>
      </c>
      <c r="B31" s="316"/>
      <c r="C31" s="317"/>
      <c r="D31" s="316" t="s">
        <v>49</v>
      </c>
      <c r="E31" s="316"/>
      <c r="F31" s="316"/>
      <c r="G31" s="318">
        <f>'Zał.1_WPF_bazowy'!F24</f>
        <v>0</v>
      </c>
      <c r="H31" s="319">
        <f>'Zał.1_WPF_bazowy'!G24</f>
        <v>0</v>
      </c>
      <c r="I31" s="319">
        <f>'Zał.1_WPF_bazowy'!H24</f>
        <v>0</v>
      </c>
      <c r="J31" s="320">
        <f>'Zał.1_WPF_bazowy'!I24</f>
        <v>0</v>
      </c>
      <c r="K31" s="321">
        <f>+'Zał.1_WPF_bazowy'!J24</f>
        <v>0</v>
      </c>
      <c r="L31" s="322">
        <f>+'Zał.1_WPF_bazowy'!K24</f>
        <v>0</v>
      </c>
      <c r="M31" s="322">
        <f>+'Zał.1_WPF_bazowy'!L24</f>
        <v>0</v>
      </c>
      <c r="N31" s="322">
        <f>+'Zał.1_WPF_bazowy'!M24</f>
        <v>0</v>
      </c>
      <c r="O31" s="322">
        <f>+'Zał.1_WPF_bazowy'!N24</f>
        <v>0</v>
      </c>
      <c r="P31" s="322">
        <f>+'Zał.1_WPF_bazowy'!O24</f>
        <v>0</v>
      </c>
      <c r="Q31" s="322">
        <f>+'Zał.1_WPF_bazowy'!P24</f>
        <v>0</v>
      </c>
      <c r="R31" s="322">
        <f>+'Zał.1_WPF_bazowy'!Q24</f>
        <v>0</v>
      </c>
      <c r="S31" s="322">
        <f>+'Zał.1_WPF_bazowy'!R24</f>
        <v>0</v>
      </c>
      <c r="T31" s="322">
        <f>+'Zał.1_WPF_bazowy'!S24</f>
        <v>0</v>
      </c>
      <c r="U31" s="322" t="e">
        <f>+'Zał.1_WPF_bazowy'!#REF!</f>
        <v>#REF!</v>
      </c>
      <c r="V31" s="322" t="e">
        <f>+'Zał.1_WPF_bazowy'!#REF!</f>
        <v>#REF!</v>
      </c>
      <c r="W31" s="322" t="e">
        <f>+'Zał.1_WPF_bazowy'!#REF!</f>
        <v>#REF!</v>
      </c>
      <c r="X31" s="322" t="e">
        <f>+'Zał.1_WPF_bazowy'!#REF!</f>
        <v>#REF!</v>
      </c>
      <c r="Y31" s="322" t="e">
        <f>+'Zał.1_WPF_bazowy'!#REF!</f>
        <v>#REF!</v>
      </c>
      <c r="Z31" s="322" t="e">
        <f>+'Zał.1_WPF_bazowy'!#REF!</f>
        <v>#REF!</v>
      </c>
      <c r="AA31" s="322" t="e">
        <f>+'Zał.1_WPF_bazowy'!#REF!</f>
        <v>#REF!</v>
      </c>
      <c r="AB31" s="322" t="e">
        <f>+'Zał.1_WPF_bazowy'!#REF!</f>
        <v>#REF!</v>
      </c>
      <c r="AC31" s="322" t="e">
        <f>+'Zał.1_WPF_bazowy'!#REF!</f>
        <v>#REF!</v>
      </c>
      <c r="AD31" s="322" t="e">
        <f>+'Zał.1_WPF_bazowy'!#REF!</f>
        <v>#REF!</v>
      </c>
      <c r="AE31" s="322" t="e">
        <f>+'Zał.1_WPF_bazowy'!#REF!</f>
        <v>#REF!</v>
      </c>
      <c r="AF31" s="322" t="e">
        <f>+'Zał.1_WPF_bazowy'!#REF!</f>
        <v>#REF!</v>
      </c>
      <c r="AG31" s="322" t="e">
        <f>+'Zał.1_WPF_bazowy'!#REF!</f>
        <v>#REF!</v>
      </c>
      <c r="AH31" s="322" t="e">
        <f>+'Zał.1_WPF_bazowy'!#REF!</f>
        <v>#REF!</v>
      </c>
      <c r="AI31" s="322" t="e">
        <f>+'Zał.1_WPF_bazowy'!#REF!</f>
        <v>#REF!</v>
      </c>
      <c r="AJ31" s="322" t="e">
        <f>+'Zał.1_WPF_bazowy'!#REF!</f>
        <v>#REF!</v>
      </c>
      <c r="AK31" s="322" t="e">
        <f>+'Zał.1_WPF_bazowy'!#REF!</f>
        <v>#REF!</v>
      </c>
      <c r="AL31" s="322" t="e">
        <f>+'Zał.1_WPF_bazowy'!#REF!</f>
        <v>#REF!</v>
      </c>
      <c r="AM31" s="322" t="e">
        <f>+'Zał.1_WPF_bazowy'!#REF!</f>
        <v>#REF!</v>
      </c>
      <c r="AN31" s="323" t="e">
        <f>+'Zał.1_WPF_bazowy'!#REF!</f>
        <v>#REF!</v>
      </c>
    </row>
    <row r="32" spans="1:40" ht="14.25" customHeight="1" outlineLevel="2">
      <c r="A32" s="48" t="s">
        <v>50</v>
      </c>
      <c r="B32" s="316"/>
      <c r="C32" s="317"/>
      <c r="D32" s="324"/>
      <c r="E32" s="316" t="s">
        <v>51</v>
      </c>
      <c r="F32" s="316"/>
      <c r="G32" s="318">
        <f>'Zał.1_WPF_bazowy'!F25</f>
        <v>0</v>
      </c>
      <c r="H32" s="319">
        <f>'Zał.1_WPF_bazowy'!G25</f>
        <v>0</v>
      </c>
      <c r="I32" s="319">
        <f>'Zał.1_WPF_bazowy'!H25</f>
        <v>0</v>
      </c>
      <c r="J32" s="320">
        <f>'Zał.1_WPF_bazowy'!I25</f>
        <v>0</v>
      </c>
      <c r="K32" s="321">
        <f>+'Zał.1_WPF_bazowy'!J25</f>
        <v>0</v>
      </c>
      <c r="L32" s="322">
        <f>+'Zał.1_WPF_bazowy'!K25</f>
        <v>0</v>
      </c>
      <c r="M32" s="322">
        <f>+'Zał.1_WPF_bazowy'!L25</f>
        <v>0</v>
      </c>
      <c r="N32" s="322">
        <f>+'Zał.1_WPF_bazowy'!M25</f>
        <v>0</v>
      </c>
      <c r="O32" s="322">
        <f>+'Zał.1_WPF_bazowy'!N25</f>
        <v>0</v>
      </c>
      <c r="P32" s="322">
        <f>+'Zał.1_WPF_bazowy'!O25</f>
        <v>0</v>
      </c>
      <c r="Q32" s="322">
        <f>+'Zał.1_WPF_bazowy'!P25</f>
        <v>0</v>
      </c>
      <c r="R32" s="322">
        <f>+'Zał.1_WPF_bazowy'!Q25</f>
        <v>0</v>
      </c>
      <c r="S32" s="322">
        <f>+'Zał.1_WPF_bazowy'!R25</f>
        <v>0</v>
      </c>
      <c r="T32" s="322">
        <f>+'Zał.1_WPF_bazowy'!S25</f>
        <v>0</v>
      </c>
      <c r="U32" s="322" t="e">
        <f>+'Zał.1_WPF_bazowy'!#REF!</f>
        <v>#REF!</v>
      </c>
      <c r="V32" s="322" t="e">
        <f>+'Zał.1_WPF_bazowy'!#REF!</f>
        <v>#REF!</v>
      </c>
      <c r="W32" s="322" t="e">
        <f>+'Zał.1_WPF_bazowy'!#REF!</f>
        <v>#REF!</v>
      </c>
      <c r="X32" s="322" t="e">
        <f>+'Zał.1_WPF_bazowy'!#REF!</f>
        <v>#REF!</v>
      </c>
      <c r="Y32" s="322" t="e">
        <f>+'Zał.1_WPF_bazowy'!#REF!</f>
        <v>#REF!</v>
      </c>
      <c r="Z32" s="322" t="e">
        <f>+'Zał.1_WPF_bazowy'!#REF!</f>
        <v>#REF!</v>
      </c>
      <c r="AA32" s="322" t="e">
        <f>+'Zał.1_WPF_bazowy'!#REF!</f>
        <v>#REF!</v>
      </c>
      <c r="AB32" s="322" t="e">
        <f>+'Zał.1_WPF_bazowy'!#REF!</f>
        <v>#REF!</v>
      </c>
      <c r="AC32" s="322" t="e">
        <f>+'Zał.1_WPF_bazowy'!#REF!</f>
        <v>#REF!</v>
      </c>
      <c r="AD32" s="322" t="e">
        <f>+'Zał.1_WPF_bazowy'!#REF!</f>
        <v>#REF!</v>
      </c>
      <c r="AE32" s="322" t="e">
        <f>+'Zał.1_WPF_bazowy'!#REF!</f>
        <v>#REF!</v>
      </c>
      <c r="AF32" s="322" t="e">
        <f>+'Zał.1_WPF_bazowy'!#REF!</f>
        <v>#REF!</v>
      </c>
      <c r="AG32" s="322" t="e">
        <f>+'Zał.1_WPF_bazowy'!#REF!</f>
        <v>#REF!</v>
      </c>
      <c r="AH32" s="322" t="e">
        <f>+'Zał.1_WPF_bazowy'!#REF!</f>
        <v>#REF!</v>
      </c>
      <c r="AI32" s="322" t="e">
        <f>+'Zał.1_WPF_bazowy'!#REF!</f>
        <v>#REF!</v>
      </c>
      <c r="AJ32" s="322" t="e">
        <f>+'Zał.1_WPF_bazowy'!#REF!</f>
        <v>#REF!</v>
      </c>
      <c r="AK32" s="322" t="e">
        <f>+'Zał.1_WPF_bazowy'!#REF!</f>
        <v>#REF!</v>
      </c>
      <c r="AL32" s="322" t="e">
        <f>+'Zał.1_WPF_bazowy'!#REF!</f>
        <v>#REF!</v>
      </c>
      <c r="AM32" s="322" t="e">
        <f>+'Zał.1_WPF_bazowy'!#REF!</f>
        <v>#REF!</v>
      </c>
      <c r="AN32" s="323" t="e">
        <f>+'Zał.1_WPF_bazowy'!#REF!</f>
        <v>#REF!</v>
      </c>
    </row>
    <row r="33" spans="1:40" ht="14.25" customHeight="1" outlineLevel="2">
      <c r="A33" s="48" t="s">
        <v>52</v>
      </c>
      <c r="B33" s="316"/>
      <c r="C33" s="317"/>
      <c r="D33" s="316" t="s">
        <v>53</v>
      </c>
      <c r="E33" s="316"/>
      <c r="F33" s="316"/>
      <c r="G33" s="318">
        <f>'Zał.1_WPF_bazowy'!F26</f>
        <v>0</v>
      </c>
      <c r="H33" s="319">
        <f>'Zał.1_WPF_bazowy'!G26</f>
        <v>0</v>
      </c>
      <c r="I33" s="319">
        <f>'Zał.1_WPF_bazowy'!H26</f>
        <v>2956793.84</v>
      </c>
      <c r="J33" s="320">
        <f>'Zał.1_WPF_bazowy'!I26</f>
        <v>2956793.84</v>
      </c>
      <c r="K33" s="321">
        <f>+'Zał.1_WPF_bazowy'!J26</f>
        <v>2607411.22</v>
      </c>
      <c r="L33" s="322">
        <f>+'Zał.1_WPF_bazowy'!K26</f>
        <v>0</v>
      </c>
      <c r="M33" s="322">
        <f>+'Zał.1_WPF_bazowy'!L26</f>
        <v>0</v>
      </c>
      <c r="N33" s="322">
        <f>+'Zał.1_WPF_bazowy'!M26</f>
        <v>0</v>
      </c>
      <c r="O33" s="322">
        <f>+'Zał.1_WPF_bazowy'!N26</f>
        <v>0</v>
      </c>
      <c r="P33" s="322">
        <f>+'Zał.1_WPF_bazowy'!O26</f>
        <v>0</v>
      </c>
      <c r="Q33" s="322">
        <f>+'Zał.1_WPF_bazowy'!P26</f>
        <v>0</v>
      </c>
      <c r="R33" s="322">
        <f>+'Zał.1_WPF_bazowy'!Q26</f>
        <v>0</v>
      </c>
      <c r="S33" s="322">
        <f>+'Zał.1_WPF_bazowy'!R26</f>
        <v>0</v>
      </c>
      <c r="T33" s="322">
        <f>+'Zał.1_WPF_bazowy'!S26</f>
        <v>0</v>
      </c>
      <c r="U33" s="322" t="e">
        <f>+'Zał.1_WPF_bazowy'!#REF!</f>
        <v>#REF!</v>
      </c>
      <c r="V33" s="322" t="e">
        <f>+'Zał.1_WPF_bazowy'!#REF!</f>
        <v>#REF!</v>
      </c>
      <c r="W33" s="322" t="e">
        <f>+'Zał.1_WPF_bazowy'!#REF!</f>
        <v>#REF!</v>
      </c>
      <c r="X33" s="322" t="e">
        <f>+'Zał.1_WPF_bazowy'!#REF!</f>
        <v>#REF!</v>
      </c>
      <c r="Y33" s="322" t="e">
        <f>+'Zał.1_WPF_bazowy'!#REF!</f>
        <v>#REF!</v>
      </c>
      <c r="Z33" s="322" t="e">
        <f>+'Zał.1_WPF_bazowy'!#REF!</f>
        <v>#REF!</v>
      </c>
      <c r="AA33" s="322" t="e">
        <f>+'Zał.1_WPF_bazowy'!#REF!</f>
        <v>#REF!</v>
      </c>
      <c r="AB33" s="322" t="e">
        <f>+'Zał.1_WPF_bazowy'!#REF!</f>
        <v>#REF!</v>
      </c>
      <c r="AC33" s="322" t="e">
        <f>+'Zał.1_WPF_bazowy'!#REF!</f>
        <v>#REF!</v>
      </c>
      <c r="AD33" s="322" t="e">
        <f>+'Zał.1_WPF_bazowy'!#REF!</f>
        <v>#REF!</v>
      </c>
      <c r="AE33" s="322" t="e">
        <f>+'Zał.1_WPF_bazowy'!#REF!</f>
        <v>#REF!</v>
      </c>
      <c r="AF33" s="322" t="e">
        <f>+'Zał.1_WPF_bazowy'!#REF!</f>
        <v>#REF!</v>
      </c>
      <c r="AG33" s="322" t="e">
        <f>+'Zał.1_WPF_bazowy'!#REF!</f>
        <v>#REF!</v>
      </c>
      <c r="AH33" s="322" t="e">
        <f>+'Zał.1_WPF_bazowy'!#REF!</f>
        <v>#REF!</v>
      </c>
      <c r="AI33" s="322" t="e">
        <f>+'Zał.1_WPF_bazowy'!#REF!</f>
        <v>#REF!</v>
      </c>
      <c r="AJ33" s="322" t="e">
        <f>+'Zał.1_WPF_bazowy'!#REF!</f>
        <v>#REF!</v>
      </c>
      <c r="AK33" s="322" t="e">
        <f>+'Zał.1_WPF_bazowy'!#REF!</f>
        <v>#REF!</v>
      </c>
      <c r="AL33" s="322" t="e">
        <f>+'Zał.1_WPF_bazowy'!#REF!</f>
        <v>#REF!</v>
      </c>
      <c r="AM33" s="322" t="e">
        <f>+'Zał.1_WPF_bazowy'!#REF!</f>
        <v>#REF!</v>
      </c>
      <c r="AN33" s="323" t="e">
        <f>+'Zał.1_WPF_bazowy'!#REF!</f>
        <v>#REF!</v>
      </c>
    </row>
    <row r="34" spans="1:40" ht="14.25" customHeight="1" outlineLevel="2">
      <c r="A34" s="48" t="s">
        <v>54</v>
      </c>
      <c r="B34" s="316"/>
      <c r="C34" s="317"/>
      <c r="D34" s="324"/>
      <c r="E34" s="316" t="s">
        <v>51</v>
      </c>
      <c r="F34" s="316"/>
      <c r="G34" s="318">
        <f>'Zał.1_WPF_bazowy'!F27</f>
        <v>0</v>
      </c>
      <c r="H34" s="319">
        <f>'Zał.1_WPF_bazowy'!G27</f>
        <v>0</v>
      </c>
      <c r="I34" s="319">
        <f>'Zał.1_WPF_bazowy'!H27</f>
        <v>1052793.84</v>
      </c>
      <c r="J34" s="320">
        <f>'Zał.1_WPF_bazowy'!I27</f>
        <v>1052793.84</v>
      </c>
      <c r="K34" s="321">
        <f>+'Zał.1_WPF_bazowy'!J27</f>
        <v>2607411.22</v>
      </c>
      <c r="L34" s="322">
        <f>+'Zał.1_WPF_bazowy'!K27</f>
        <v>0</v>
      </c>
      <c r="M34" s="322">
        <f>+'Zał.1_WPF_bazowy'!L27</f>
        <v>0</v>
      </c>
      <c r="N34" s="322">
        <f>+'Zał.1_WPF_bazowy'!M27</f>
        <v>0</v>
      </c>
      <c r="O34" s="322">
        <f>+'Zał.1_WPF_bazowy'!N27</f>
        <v>0</v>
      </c>
      <c r="P34" s="322">
        <f>+'Zał.1_WPF_bazowy'!O27</f>
        <v>0</v>
      </c>
      <c r="Q34" s="322">
        <f>+'Zał.1_WPF_bazowy'!P27</f>
        <v>0</v>
      </c>
      <c r="R34" s="322">
        <f>+'Zał.1_WPF_bazowy'!Q27</f>
        <v>0</v>
      </c>
      <c r="S34" s="322">
        <f>+'Zał.1_WPF_bazowy'!R27</f>
        <v>0</v>
      </c>
      <c r="T34" s="322">
        <f>+'Zał.1_WPF_bazowy'!S27</f>
        <v>0</v>
      </c>
      <c r="U34" s="322" t="e">
        <f>+'Zał.1_WPF_bazowy'!#REF!</f>
        <v>#REF!</v>
      </c>
      <c r="V34" s="322" t="e">
        <f>+'Zał.1_WPF_bazowy'!#REF!</f>
        <v>#REF!</v>
      </c>
      <c r="W34" s="322" t="e">
        <f>+'Zał.1_WPF_bazowy'!#REF!</f>
        <v>#REF!</v>
      </c>
      <c r="X34" s="322" t="e">
        <f>+'Zał.1_WPF_bazowy'!#REF!</f>
        <v>#REF!</v>
      </c>
      <c r="Y34" s="322" t="e">
        <f>+'Zał.1_WPF_bazowy'!#REF!</f>
        <v>#REF!</v>
      </c>
      <c r="Z34" s="322" t="e">
        <f>+'Zał.1_WPF_bazowy'!#REF!</f>
        <v>#REF!</v>
      </c>
      <c r="AA34" s="322" t="e">
        <f>+'Zał.1_WPF_bazowy'!#REF!</f>
        <v>#REF!</v>
      </c>
      <c r="AB34" s="322" t="e">
        <f>+'Zał.1_WPF_bazowy'!#REF!</f>
        <v>#REF!</v>
      </c>
      <c r="AC34" s="322" t="e">
        <f>+'Zał.1_WPF_bazowy'!#REF!</f>
        <v>#REF!</v>
      </c>
      <c r="AD34" s="322" t="e">
        <f>+'Zał.1_WPF_bazowy'!#REF!</f>
        <v>#REF!</v>
      </c>
      <c r="AE34" s="322" t="e">
        <f>+'Zał.1_WPF_bazowy'!#REF!</f>
        <v>#REF!</v>
      </c>
      <c r="AF34" s="322" t="e">
        <f>+'Zał.1_WPF_bazowy'!#REF!</f>
        <v>#REF!</v>
      </c>
      <c r="AG34" s="322" t="e">
        <f>+'Zał.1_WPF_bazowy'!#REF!</f>
        <v>#REF!</v>
      </c>
      <c r="AH34" s="322" t="e">
        <f>+'Zał.1_WPF_bazowy'!#REF!</f>
        <v>#REF!</v>
      </c>
      <c r="AI34" s="322" t="e">
        <f>+'Zał.1_WPF_bazowy'!#REF!</f>
        <v>#REF!</v>
      </c>
      <c r="AJ34" s="322" t="e">
        <f>+'Zał.1_WPF_bazowy'!#REF!</f>
        <v>#REF!</v>
      </c>
      <c r="AK34" s="322" t="e">
        <f>+'Zał.1_WPF_bazowy'!#REF!</f>
        <v>#REF!</v>
      </c>
      <c r="AL34" s="322" t="e">
        <f>+'Zał.1_WPF_bazowy'!#REF!</f>
        <v>#REF!</v>
      </c>
      <c r="AM34" s="322" t="e">
        <f>+'Zał.1_WPF_bazowy'!#REF!</f>
        <v>#REF!</v>
      </c>
      <c r="AN34" s="323" t="e">
        <f>+'Zał.1_WPF_bazowy'!#REF!</f>
        <v>#REF!</v>
      </c>
    </row>
    <row r="35" spans="1:40" ht="14.25" customHeight="1" outlineLevel="2">
      <c r="A35" s="48" t="s">
        <v>55</v>
      </c>
      <c r="B35" s="316"/>
      <c r="C35" s="317"/>
      <c r="D35" s="316" t="s">
        <v>56</v>
      </c>
      <c r="E35" s="316"/>
      <c r="F35" s="316"/>
      <c r="G35" s="318">
        <f>'Zał.1_WPF_bazowy'!F28</f>
        <v>6000000</v>
      </c>
      <c r="H35" s="319">
        <f>'Zał.1_WPF_bazowy'!G28</f>
        <v>3600000</v>
      </c>
      <c r="I35" s="319">
        <f>'Zał.1_WPF_bazowy'!H28</f>
        <v>3818747.09</v>
      </c>
      <c r="J35" s="320">
        <f>'Zał.1_WPF_bazowy'!I28</f>
        <v>3500000</v>
      </c>
      <c r="K35" s="321">
        <f>+'Zał.1_WPF_bazowy'!J28</f>
        <v>2254000</v>
      </c>
      <c r="L35" s="322">
        <f>+'Zał.1_WPF_bazowy'!K28</f>
        <v>0</v>
      </c>
      <c r="M35" s="322">
        <f>+'Zał.1_WPF_bazowy'!L28</f>
        <v>0</v>
      </c>
      <c r="N35" s="322">
        <f>+'Zał.1_WPF_bazowy'!M28</f>
        <v>0</v>
      </c>
      <c r="O35" s="322">
        <f>+'Zał.1_WPF_bazowy'!N28</f>
        <v>0</v>
      </c>
      <c r="P35" s="322">
        <f>+'Zał.1_WPF_bazowy'!O28</f>
        <v>0</v>
      </c>
      <c r="Q35" s="322">
        <f>+'Zał.1_WPF_bazowy'!P28</f>
        <v>0</v>
      </c>
      <c r="R35" s="322">
        <f>+'Zał.1_WPF_bazowy'!Q28</f>
        <v>0</v>
      </c>
      <c r="S35" s="322">
        <f>+'Zał.1_WPF_bazowy'!R28</f>
        <v>0</v>
      </c>
      <c r="T35" s="322">
        <f>+'Zał.1_WPF_bazowy'!S28</f>
        <v>0</v>
      </c>
      <c r="U35" s="322" t="e">
        <f>+'Zał.1_WPF_bazowy'!#REF!</f>
        <v>#REF!</v>
      </c>
      <c r="V35" s="322" t="e">
        <f>+'Zał.1_WPF_bazowy'!#REF!</f>
        <v>#REF!</v>
      </c>
      <c r="W35" s="322" t="e">
        <f>+'Zał.1_WPF_bazowy'!#REF!</f>
        <v>#REF!</v>
      </c>
      <c r="X35" s="322" t="e">
        <f>+'Zał.1_WPF_bazowy'!#REF!</f>
        <v>#REF!</v>
      </c>
      <c r="Y35" s="322" t="e">
        <f>+'Zał.1_WPF_bazowy'!#REF!</f>
        <v>#REF!</v>
      </c>
      <c r="Z35" s="322" t="e">
        <f>+'Zał.1_WPF_bazowy'!#REF!</f>
        <v>#REF!</v>
      </c>
      <c r="AA35" s="322" t="e">
        <f>+'Zał.1_WPF_bazowy'!#REF!</f>
        <v>#REF!</v>
      </c>
      <c r="AB35" s="322" t="e">
        <f>+'Zał.1_WPF_bazowy'!#REF!</f>
        <v>#REF!</v>
      </c>
      <c r="AC35" s="322" t="e">
        <f>+'Zał.1_WPF_bazowy'!#REF!</f>
        <v>#REF!</v>
      </c>
      <c r="AD35" s="322" t="e">
        <f>+'Zał.1_WPF_bazowy'!#REF!</f>
        <v>#REF!</v>
      </c>
      <c r="AE35" s="322" t="e">
        <f>+'Zał.1_WPF_bazowy'!#REF!</f>
        <v>#REF!</v>
      </c>
      <c r="AF35" s="322" t="e">
        <f>+'Zał.1_WPF_bazowy'!#REF!</f>
        <v>#REF!</v>
      </c>
      <c r="AG35" s="322" t="e">
        <f>+'Zał.1_WPF_bazowy'!#REF!</f>
        <v>#REF!</v>
      </c>
      <c r="AH35" s="322" t="e">
        <f>+'Zał.1_WPF_bazowy'!#REF!</f>
        <v>#REF!</v>
      </c>
      <c r="AI35" s="322" t="e">
        <f>+'Zał.1_WPF_bazowy'!#REF!</f>
        <v>#REF!</v>
      </c>
      <c r="AJ35" s="322" t="e">
        <f>+'Zał.1_WPF_bazowy'!#REF!</f>
        <v>#REF!</v>
      </c>
      <c r="AK35" s="322" t="e">
        <f>+'Zał.1_WPF_bazowy'!#REF!</f>
        <v>#REF!</v>
      </c>
      <c r="AL35" s="322" t="e">
        <f>+'Zał.1_WPF_bazowy'!#REF!</f>
        <v>#REF!</v>
      </c>
      <c r="AM35" s="322" t="e">
        <f>+'Zał.1_WPF_bazowy'!#REF!</f>
        <v>#REF!</v>
      </c>
      <c r="AN35" s="323" t="e">
        <f>+'Zał.1_WPF_bazowy'!#REF!</f>
        <v>#REF!</v>
      </c>
    </row>
    <row r="36" spans="1:40" ht="14.25" customHeight="1" outlineLevel="2">
      <c r="A36" s="48" t="s">
        <v>57</v>
      </c>
      <c r="B36" s="316"/>
      <c r="C36" s="317"/>
      <c r="D36" s="324"/>
      <c r="E36" s="316" t="s">
        <v>51</v>
      </c>
      <c r="F36" s="316"/>
      <c r="G36" s="318">
        <f>'Zał.1_WPF_bazowy'!F29</f>
        <v>0</v>
      </c>
      <c r="H36" s="319">
        <f>'Zał.1_WPF_bazowy'!G29</f>
        <v>0</v>
      </c>
      <c r="I36" s="319">
        <f>'Zał.1_WPF_bazowy'!H29</f>
        <v>3818747.09</v>
      </c>
      <c r="J36" s="320">
        <f>'Zał.1_WPF_bazowy'!I29</f>
        <v>3500000</v>
      </c>
      <c r="K36" s="321">
        <f>+'Zał.1_WPF_bazowy'!J29</f>
        <v>0</v>
      </c>
      <c r="L36" s="322">
        <f>+'Zał.1_WPF_bazowy'!K29</f>
        <v>0</v>
      </c>
      <c r="M36" s="322">
        <f>+'Zał.1_WPF_bazowy'!L29</f>
        <v>0</v>
      </c>
      <c r="N36" s="322">
        <f>+'Zał.1_WPF_bazowy'!M29</f>
        <v>0</v>
      </c>
      <c r="O36" s="322">
        <f>+'Zał.1_WPF_bazowy'!N29</f>
        <v>0</v>
      </c>
      <c r="P36" s="322">
        <f>+'Zał.1_WPF_bazowy'!O29</f>
        <v>0</v>
      </c>
      <c r="Q36" s="322">
        <f>+'Zał.1_WPF_bazowy'!P29</f>
        <v>0</v>
      </c>
      <c r="R36" s="322">
        <f>+'Zał.1_WPF_bazowy'!Q29</f>
        <v>0</v>
      </c>
      <c r="S36" s="322">
        <f>+'Zał.1_WPF_bazowy'!R29</f>
        <v>0</v>
      </c>
      <c r="T36" s="322">
        <f>+'Zał.1_WPF_bazowy'!S29</f>
        <v>0</v>
      </c>
      <c r="U36" s="322" t="e">
        <f>+'Zał.1_WPF_bazowy'!#REF!</f>
        <v>#REF!</v>
      </c>
      <c r="V36" s="322" t="e">
        <f>+'Zał.1_WPF_bazowy'!#REF!</f>
        <v>#REF!</v>
      </c>
      <c r="W36" s="322" t="e">
        <f>+'Zał.1_WPF_bazowy'!#REF!</f>
        <v>#REF!</v>
      </c>
      <c r="X36" s="322" t="e">
        <f>+'Zał.1_WPF_bazowy'!#REF!</f>
        <v>#REF!</v>
      </c>
      <c r="Y36" s="322" t="e">
        <f>+'Zał.1_WPF_bazowy'!#REF!</f>
        <v>#REF!</v>
      </c>
      <c r="Z36" s="322" t="e">
        <f>+'Zał.1_WPF_bazowy'!#REF!</f>
        <v>#REF!</v>
      </c>
      <c r="AA36" s="322" t="e">
        <f>+'Zał.1_WPF_bazowy'!#REF!</f>
        <v>#REF!</v>
      </c>
      <c r="AB36" s="322" t="e">
        <f>+'Zał.1_WPF_bazowy'!#REF!</f>
        <v>#REF!</v>
      </c>
      <c r="AC36" s="322" t="e">
        <f>+'Zał.1_WPF_bazowy'!#REF!</f>
        <v>#REF!</v>
      </c>
      <c r="AD36" s="322" t="e">
        <f>+'Zał.1_WPF_bazowy'!#REF!</f>
        <v>#REF!</v>
      </c>
      <c r="AE36" s="322" t="e">
        <f>+'Zał.1_WPF_bazowy'!#REF!</f>
        <v>#REF!</v>
      </c>
      <c r="AF36" s="322" t="e">
        <f>+'Zał.1_WPF_bazowy'!#REF!</f>
        <v>#REF!</v>
      </c>
      <c r="AG36" s="322" t="e">
        <f>+'Zał.1_WPF_bazowy'!#REF!</f>
        <v>#REF!</v>
      </c>
      <c r="AH36" s="322" t="e">
        <f>+'Zał.1_WPF_bazowy'!#REF!</f>
        <v>#REF!</v>
      </c>
      <c r="AI36" s="322" t="e">
        <f>+'Zał.1_WPF_bazowy'!#REF!</f>
        <v>#REF!</v>
      </c>
      <c r="AJ36" s="322" t="e">
        <f>+'Zał.1_WPF_bazowy'!#REF!</f>
        <v>#REF!</v>
      </c>
      <c r="AK36" s="322" t="e">
        <f>+'Zał.1_WPF_bazowy'!#REF!</f>
        <v>#REF!</v>
      </c>
      <c r="AL36" s="322" t="e">
        <f>+'Zał.1_WPF_bazowy'!#REF!</f>
        <v>#REF!</v>
      </c>
      <c r="AM36" s="322" t="e">
        <f>+'Zał.1_WPF_bazowy'!#REF!</f>
        <v>#REF!</v>
      </c>
      <c r="AN36" s="323" t="e">
        <f>+'Zał.1_WPF_bazowy'!#REF!</f>
        <v>#REF!</v>
      </c>
    </row>
    <row r="37" spans="1:40" ht="14.25" customHeight="1" outlineLevel="2">
      <c r="A37" s="48" t="s">
        <v>58</v>
      </c>
      <c r="B37" s="316"/>
      <c r="C37" s="317"/>
      <c r="D37" s="316" t="s">
        <v>59</v>
      </c>
      <c r="E37" s="316"/>
      <c r="F37" s="316"/>
      <c r="G37" s="318">
        <f>'Zał.1_WPF_bazowy'!F30</f>
        <v>0</v>
      </c>
      <c r="H37" s="319">
        <f>'Zał.1_WPF_bazowy'!G30</f>
        <v>0</v>
      </c>
      <c r="I37" s="319">
        <f>'Zał.1_WPF_bazowy'!H30</f>
        <v>0</v>
      </c>
      <c r="J37" s="320">
        <f>'Zał.1_WPF_bazowy'!I30</f>
        <v>0</v>
      </c>
      <c r="K37" s="321">
        <f>+'Zał.1_WPF_bazowy'!J30</f>
        <v>0</v>
      </c>
      <c r="L37" s="322">
        <f>+'Zał.1_WPF_bazowy'!K30</f>
        <v>0</v>
      </c>
      <c r="M37" s="322">
        <f>+'Zał.1_WPF_bazowy'!L30</f>
        <v>0</v>
      </c>
      <c r="N37" s="322">
        <f>+'Zał.1_WPF_bazowy'!M30</f>
        <v>0</v>
      </c>
      <c r="O37" s="322">
        <f>+'Zał.1_WPF_bazowy'!N30</f>
        <v>0</v>
      </c>
      <c r="P37" s="322">
        <f>+'Zał.1_WPF_bazowy'!O30</f>
        <v>0</v>
      </c>
      <c r="Q37" s="322">
        <f>+'Zał.1_WPF_bazowy'!P30</f>
        <v>0</v>
      </c>
      <c r="R37" s="322">
        <f>+'Zał.1_WPF_bazowy'!Q30</f>
        <v>0</v>
      </c>
      <c r="S37" s="322">
        <f>+'Zał.1_WPF_bazowy'!R30</f>
        <v>0</v>
      </c>
      <c r="T37" s="322">
        <f>+'Zał.1_WPF_bazowy'!S30</f>
        <v>0</v>
      </c>
      <c r="U37" s="322" t="e">
        <f>+'Zał.1_WPF_bazowy'!#REF!</f>
        <v>#REF!</v>
      </c>
      <c r="V37" s="322" t="e">
        <f>+'Zał.1_WPF_bazowy'!#REF!</f>
        <v>#REF!</v>
      </c>
      <c r="W37" s="322" t="e">
        <f>+'Zał.1_WPF_bazowy'!#REF!</f>
        <v>#REF!</v>
      </c>
      <c r="X37" s="322" t="e">
        <f>+'Zał.1_WPF_bazowy'!#REF!</f>
        <v>#REF!</v>
      </c>
      <c r="Y37" s="322" t="e">
        <f>+'Zał.1_WPF_bazowy'!#REF!</f>
        <v>#REF!</v>
      </c>
      <c r="Z37" s="322" t="e">
        <f>+'Zał.1_WPF_bazowy'!#REF!</f>
        <v>#REF!</v>
      </c>
      <c r="AA37" s="322" t="e">
        <f>+'Zał.1_WPF_bazowy'!#REF!</f>
        <v>#REF!</v>
      </c>
      <c r="AB37" s="322" t="e">
        <f>+'Zał.1_WPF_bazowy'!#REF!</f>
        <v>#REF!</v>
      </c>
      <c r="AC37" s="322" t="e">
        <f>+'Zał.1_WPF_bazowy'!#REF!</f>
        <v>#REF!</v>
      </c>
      <c r="AD37" s="322" t="e">
        <f>+'Zał.1_WPF_bazowy'!#REF!</f>
        <v>#REF!</v>
      </c>
      <c r="AE37" s="322" t="e">
        <f>+'Zał.1_WPF_bazowy'!#REF!</f>
        <v>#REF!</v>
      </c>
      <c r="AF37" s="322" t="e">
        <f>+'Zał.1_WPF_bazowy'!#REF!</f>
        <v>#REF!</v>
      </c>
      <c r="AG37" s="322" t="e">
        <f>+'Zał.1_WPF_bazowy'!#REF!</f>
        <v>#REF!</v>
      </c>
      <c r="AH37" s="322" t="e">
        <f>+'Zał.1_WPF_bazowy'!#REF!</f>
        <v>#REF!</v>
      </c>
      <c r="AI37" s="322" t="e">
        <f>+'Zał.1_WPF_bazowy'!#REF!</f>
        <v>#REF!</v>
      </c>
      <c r="AJ37" s="322" t="e">
        <f>+'Zał.1_WPF_bazowy'!#REF!</f>
        <v>#REF!</v>
      </c>
      <c r="AK37" s="322" t="e">
        <f>+'Zał.1_WPF_bazowy'!#REF!</f>
        <v>#REF!</v>
      </c>
      <c r="AL37" s="322" t="e">
        <f>+'Zał.1_WPF_bazowy'!#REF!</f>
        <v>#REF!</v>
      </c>
      <c r="AM37" s="322" t="e">
        <f>+'Zał.1_WPF_bazowy'!#REF!</f>
        <v>#REF!</v>
      </c>
      <c r="AN37" s="323" t="e">
        <f>+'Zał.1_WPF_bazowy'!#REF!</f>
        <v>#REF!</v>
      </c>
    </row>
    <row r="38" spans="1:40" ht="14.25" customHeight="1" outlineLevel="2">
      <c r="A38" s="48" t="s">
        <v>60</v>
      </c>
      <c r="B38" s="316"/>
      <c r="C38" s="317"/>
      <c r="D38" s="324"/>
      <c r="E38" s="316" t="s">
        <v>51</v>
      </c>
      <c r="F38" s="316"/>
      <c r="G38" s="318">
        <f>'Zał.1_WPF_bazowy'!F31</f>
        <v>0</v>
      </c>
      <c r="H38" s="319">
        <f>'Zał.1_WPF_bazowy'!G31</f>
        <v>0</v>
      </c>
      <c r="I38" s="319">
        <f>'Zał.1_WPF_bazowy'!H31</f>
        <v>0</v>
      </c>
      <c r="J38" s="320">
        <f>'Zał.1_WPF_bazowy'!I31</f>
        <v>0</v>
      </c>
      <c r="K38" s="321">
        <f>+'Zał.1_WPF_bazowy'!J31</f>
        <v>0</v>
      </c>
      <c r="L38" s="322">
        <f>+'Zał.1_WPF_bazowy'!K31</f>
        <v>0</v>
      </c>
      <c r="M38" s="322">
        <f>+'Zał.1_WPF_bazowy'!L31</f>
        <v>0</v>
      </c>
      <c r="N38" s="322">
        <f>+'Zał.1_WPF_bazowy'!M31</f>
        <v>0</v>
      </c>
      <c r="O38" s="322">
        <f>+'Zał.1_WPF_bazowy'!N31</f>
        <v>0</v>
      </c>
      <c r="P38" s="322">
        <f>+'Zał.1_WPF_bazowy'!O31</f>
        <v>0</v>
      </c>
      <c r="Q38" s="322">
        <f>+'Zał.1_WPF_bazowy'!P31</f>
        <v>0</v>
      </c>
      <c r="R38" s="322">
        <f>+'Zał.1_WPF_bazowy'!Q31</f>
        <v>0</v>
      </c>
      <c r="S38" s="322">
        <f>+'Zał.1_WPF_bazowy'!R31</f>
        <v>0</v>
      </c>
      <c r="T38" s="322">
        <f>+'Zał.1_WPF_bazowy'!S31</f>
        <v>0</v>
      </c>
      <c r="U38" s="322" t="e">
        <f>+'Zał.1_WPF_bazowy'!#REF!</f>
        <v>#REF!</v>
      </c>
      <c r="V38" s="322" t="e">
        <f>+'Zał.1_WPF_bazowy'!#REF!</f>
        <v>#REF!</v>
      </c>
      <c r="W38" s="322" t="e">
        <f>+'Zał.1_WPF_bazowy'!#REF!</f>
        <v>#REF!</v>
      </c>
      <c r="X38" s="322" t="e">
        <f>+'Zał.1_WPF_bazowy'!#REF!</f>
        <v>#REF!</v>
      </c>
      <c r="Y38" s="322" t="e">
        <f>+'Zał.1_WPF_bazowy'!#REF!</f>
        <v>#REF!</v>
      </c>
      <c r="Z38" s="322" t="e">
        <f>+'Zał.1_WPF_bazowy'!#REF!</f>
        <v>#REF!</v>
      </c>
      <c r="AA38" s="322" t="e">
        <f>+'Zał.1_WPF_bazowy'!#REF!</f>
        <v>#REF!</v>
      </c>
      <c r="AB38" s="322" t="e">
        <f>+'Zał.1_WPF_bazowy'!#REF!</f>
        <v>#REF!</v>
      </c>
      <c r="AC38" s="322" t="e">
        <f>+'Zał.1_WPF_bazowy'!#REF!</f>
        <v>#REF!</v>
      </c>
      <c r="AD38" s="322" t="e">
        <f>+'Zał.1_WPF_bazowy'!#REF!</f>
        <v>#REF!</v>
      </c>
      <c r="AE38" s="322" t="e">
        <f>+'Zał.1_WPF_bazowy'!#REF!</f>
        <v>#REF!</v>
      </c>
      <c r="AF38" s="322" t="e">
        <f>+'Zał.1_WPF_bazowy'!#REF!</f>
        <v>#REF!</v>
      </c>
      <c r="AG38" s="322" t="e">
        <f>+'Zał.1_WPF_bazowy'!#REF!</f>
        <v>#REF!</v>
      </c>
      <c r="AH38" s="322" t="e">
        <f>+'Zał.1_WPF_bazowy'!#REF!</f>
        <v>#REF!</v>
      </c>
      <c r="AI38" s="322" t="e">
        <f>+'Zał.1_WPF_bazowy'!#REF!</f>
        <v>#REF!</v>
      </c>
      <c r="AJ38" s="322" t="e">
        <f>+'Zał.1_WPF_bazowy'!#REF!</f>
        <v>#REF!</v>
      </c>
      <c r="AK38" s="322" t="e">
        <f>+'Zał.1_WPF_bazowy'!#REF!</f>
        <v>#REF!</v>
      </c>
      <c r="AL38" s="322" t="e">
        <f>+'Zał.1_WPF_bazowy'!#REF!</f>
        <v>#REF!</v>
      </c>
      <c r="AM38" s="322" t="e">
        <f>+'Zał.1_WPF_bazowy'!#REF!</f>
        <v>#REF!</v>
      </c>
      <c r="AN38" s="323" t="e">
        <f>+'Zał.1_WPF_bazowy'!#REF!</f>
        <v>#REF!</v>
      </c>
    </row>
    <row r="39" spans="1:40" s="315" customFormat="1" ht="15.75" customHeight="1" outlineLevel="1">
      <c r="A39" s="307">
        <v>5</v>
      </c>
      <c r="B39" s="308" t="s">
        <v>361</v>
      </c>
      <c r="C39" s="309" t="s">
        <v>61</v>
      </c>
      <c r="D39" s="309"/>
      <c r="E39" s="309"/>
      <c r="F39" s="309"/>
      <c r="G39" s="310">
        <f>'Zał.1_WPF_bazowy'!F32</f>
        <v>1916539.28</v>
      </c>
      <c r="H39" s="311">
        <f>'Zał.1_WPF_bazowy'!G32</f>
        <v>2541577.28</v>
      </c>
      <c r="I39" s="311">
        <f>'Zał.1_WPF_bazowy'!H32</f>
        <v>1904000</v>
      </c>
      <c r="J39" s="312">
        <f>+J40+J43</f>
        <v>1903176.7</v>
      </c>
      <c r="K39" s="313">
        <f>+K40+K43</f>
        <v>2254000</v>
      </c>
      <c r="L39" s="314">
        <f aca="true" t="shared" si="4" ref="L39:AN39">+L40+L43</f>
        <v>1300000</v>
      </c>
      <c r="M39" s="314">
        <f t="shared" si="4"/>
        <v>1850000</v>
      </c>
      <c r="N39" s="314">
        <f t="shared" si="4"/>
        <v>2000000</v>
      </c>
      <c r="O39" s="314">
        <f t="shared" si="4"/>
        <v>2200000</v>
      </c>
      <c r="P39" s="314">
        <f t="shared" si="4"/>
        <v>2100000</v>
      </c>
      <c r="Q39" s="314">
        <f t="shared" si="4"/>
        <v>2000000</v>
      </c>
      <c r="R39" s="314">
        <f t="shared" si="4"/>
        <v>2000000</v>
      </c>
      <c r="S39" s="314">
        <f t="shared" si="4"/>
        <v>1000000</v>
      </c>
      <c r="T39" s="314">
        <f t="shared" si="4"/>
        <v>1053368.16</v>
      </c>
      <c r="U39" s="314" t="e">
        <f t="shared" si="4"/>
        <v>#REF!</v>
      </c>
      <c r="V39" s="314" t="e">
        <f t="shared" si="4"/>
        <v>#REF!</v>
      </c>
      <c r="W39" s="314" t="e">
        <f t="shared" si="4"/>
        <v>#REF!</v>
      </c>
      <c r="X39" s="314" t="e">
        <f t="shared" si="4"/>
        <v>#REF!</v>
      </c>
      <c r="Y39" s="314" t="e">
        <f t="shared" si="4"/>
        <v>#REF!</v>
      </c>
      <c r="Z39" s="314" t="e">
        <f t="shared" si="4"/>
        <v>#REF!</v>
      </c>
      <c r="AA39" s="314" t="e">
        <f t="shared" si="4"/>
        <v>#REF!</v>
      </c>
      <c r="AB39" s="314" t="e">
        <f t="shared" si="4"/>
        <v>#REF!</v>
      </c>
      <c r="AC39" s="314" t="e">
        <f t="shared" si="4"/>
        <v>#REF!</v>
      </c>
      <c r="AD39" s="314" t="e">
        <f t="shared" si="4"/>
        <v>#REF!</v>
      </c>
      <c r="AE39" s="314" t="e">
        <f t="shared" si="4"/>
        <v>#REF!</v>
      </c>
      <c r="AF39" s="314" t="e">
        <f t="shared" si="4"/>
        <v>#REF!</v>
      </c>
      <c r="AG39" s="314" t="e">
        <f t="shared" si="4"/>
        <v>#REF!</v>
      </c>
      <c r="AH39" s="314" t="e">
        <f t="shared" si="4"/>
        <v>#REF!</v>
      </c>
      <c r="AI39" s="314" t="e">
        <f t="shared" si="4"/>
        <v>#REF!</v>
      </c>
      <c r="AJ39" s="314" t="e">
        <f t="shared" si="4"/>
        <v>#REF!</v>
      </c>
      <c r="AK39" s="314" t="e">
        <f t="shared" si="4"/>
        <v>#REF!</v>
      </c>
      <c r="AL39" s="314" t="e">
        <f t="shared" si="4"/>
        <v>#REF!</v>
      </c>
      <c r="AM39" s="314" t="e">
        <f t="shared" si="4"/>
        <v>#REF!</v>
      </c>
      <c r="AN39" s="312" t="e">
        <f t="shared" si="4"/>
        <v>#REF!</v>
      </c>
    </row>
    <row r="40" spans="1:40" ht="24" customHeight="1" outlineLevel="2">
      <c r="A40" s="48" t="s">
        <v>62</v>
      </c>
      <c r="B40" s="316"/>
      <c r="C40" s="317"/>
      <c r="D40" s="316" t="s">
        <v>63</v>
      </c>
      <c r="E40" s="316"/>
      <c r="F40" s="316"/>
      <c r="G40" s="318">
        <f>'Zał.1_WPF_bazowy'!F33</f>
        <v>1916539.28</v>
      </c>
      <c r="H40" s="319">
        <f>'Zał.1_WPF_bazowy'!G33</f>
        <v>2541577.28</v>
      </c>
      <c r="I40" s="319">
        <f>'Zał.1_WPF_bazowy'!H33</f>
        <v>1904000</v>
      </c>
      <c r="J40" s="320">
        <f>'Zał.1_WPF_bazowy'!I33</f>
        <v>1903176.7</v>
      </c>
      <c r="K40" s="321">
        <f>+'Zał.1_WPF_bazowy'!J33</f>
        <v>2254000</v>
      </c>
      <c r="L40" s="322">
        <f>+'Zał.1_WPF_bazowy'!K33</f>
        <v>1300000</v>
      </c>
      <c r="M40" s="322">
        <f>+'Zał.1_WPF_bazowy'!L33</f>
        <v>1850000</v>
      </c>
      <c r="N40" s="322">
        <f>+'Zał.1_WPF_bazowy'!M33</f>
        <v>2000000</v>
      </c>
      <c r="O40" s="322">
        <f>+'Zał.1_WPF_bazowy'!N33</f>
        <v>2200000</v>
      </c>
      <c r="P40" s="322">
        <f>+'Zał.1_WPF_bazowy'!O33</f>
        <v>2100000</v>
      </c>
      <c r="Q40" s="322">
        <f>+'Zał.1_WPF_bazowy'!P33</f>
        <v>2000000</v>
      </c>
      <c r="R40" s="322">
        <f>+'Zał.1_WPF_bazowy'!Q33</f>
        <v>2000000</v>
      </c>
      <c r="S40" s="322">
        <f>+'Zał.1_WPF_bazowy'!R33</f>
        <v>1000000</v>
      </c>
      <c r="T40" s="322">
        <f>+'Zał.1_WPF_bazowy'!S33</f>
        <v>1053368.16</v>
      </c>
      <c r="U40" s="322" t="e">
        <f>+'Zał.1_WPF_bazowy'!#REF!</f>
        <v>#REF!</v>
      </c>
      <c r="V40" s="322" t="e">
        <f>+'Zał.1_WPF_bazowy'!#REF!</f>
        <v>#REF!</v>
      </c>
      <c r="W40" s="322" t="e">
        <f>+'Zał.1_WPF_bazowy'!#REF!</f>
        <v>#REF!</v>
      </c>
      <c r="X40" s="322" t="e">
        <f>+'Zał.1_WPF_bazowy'!#REF!</f>
        <v>#REF!</v>
      </c>
      <c r="Y40" s="322" t="e">
        <f>+'Zał.1_WPF_bazowy'!#REF!</f>
        <v>#REF!</v>
      </c>
      <c r="Z40" s="322" t="e">
        <f>+'Zał.1_WPF_bazowy'!#REF!</f>
        <v>#REF!</v>
      </c>
      <c r="AA40" s="322" t="e">
        <f>+'Zał.1_WPF_bazowy'!#REF!</f>
        <v>#REF!</v>
      </c>
      <c r="AB40" s="322" t="e">
        <f>+'Zał.1_WPF_bazowy'!#REF!</f>
        <v>#REF!</v>
      </c>
      <c r="AC40" s="322" t="e">
        <f>+'Zał.1_WPF_bazowy'!#REF!</f>
        <v>#REF!</v>
      </c>
      <c r="AD40" s="322" t="e">
        <f>+'Zał.1_WPF_bazowy'!#REF!</f>
        <v>#REF!</v>
      </c>
      <c r="AE40" s="322" t="e">
        <f>+'Zał.1_WPF_bazowy'!#REF!</f>
        <v>#REF!</v>
      </c>
      <c r="AF40" s="322" t="e">
        <f>+'Zał.1_WPF_bazowy'!#REF!</f>
        <v>#REF!</v>
      </c>
      <c r="AG40" s="322" t="e">
        <f>+'Zał.1_WPF_bazowy'!#REF!</f>
        <v>#REF!</v>
      </c>
      <c r="AH40" s="322" t="e">
        <f>+'Zał.1_WPF_bazowy'!#REF!</f>
        <v>#REF!</v>
      </c>
      <c r="AI40" s="322" t="e">
        <f>+'Zał.1_WPF_bazowy'!#REF!</f>
        <v>#REF!</v>
      </c>
      <c r="AJ40" s="322" t="e">
        <f>+'Zał.1_WPF_bazowy'!#REF!</f>
        <v>#REF!</v>
      </c>
      <c r="AK40" s="322" t="e">
        <f>+'Zał.1_WPF_bazowy'!#REF!</f>
        <v>#REF!</v>
      </c>
      <c r="AL40" s="322" t="e">
        <f>+'Zał.1_WPF_bazowy'!#REF!</f>
        <v>#REF!</v>
      </c>
      <c r="AM40" s="322" t="e">
        <f>+'Zał.1_WPF_bazowy'!#REF!</f>
        <v>#REF!</v>
      </c>
      <c r="AN40" s="323" t="e">
        <f>+'Zał.1_WPF_bazowy'!#REF!</f>
        <v>#REF!</v>
      </c>
    </row>
    <row r="41" spans="1:40" ht="84" customHeight="1" outlineLevel="2">
      <c r="A41" s="48" t="s">
        <v>64</v>
      </c>
      <c r="B41" s="316"/>
      <c r="C41" s="317"/>
      <c r="D41" s="324"/>
      <c r="E41" s="316" t="s">
        <v>65</v>
      </c>
      <c r="F41" s="316"/>
      <c r="G41" s="318">
        <f>'Zał.1_WPF_bazowy'!F34</f>
        <v>0</v>
      </c>
      <c r="H41" s="319">
        <f>'Zał.1_WPF_bazowy'!G34</f>
        <v>0</v>
      </c>
      <c r="I41" s="319">
        <f>'Zał.1_WPF_bazowy'!H34</f>
        <v>0</v>
      </c>
      <c r="J41" s="320">
        <f>'Zał.1_WPF_bazowy'!I34</f>
        <v>0</v>
      </c>
      <c r="K41" s="321">
        <f>+'Zał.1_WPF_bazowy'!J34</f>
        <v>0</v>
      </c>
      <c r="L41" s="322">
        <f>+'Zał.1_WPF_bazowy'!K34</f>
        <v>0</v>
      </c>
      <c r="M41" s="322">
        <f>+'Zał.1_WPF_bazowy'!L34</f>
        <v>0</v>
      </c>
      <c r="N41" s="322">
        <f>+'Zał.1_WPF_bazowy'!M34</f>
        <v>0</v>
      </c>
      <c r="O41" s="322">
        <f>+'Zał.1_WPF_bazowy'!N34</f>
        <v>0</v>
      </c>
      <c r="P41" s="322">
        <f>+'Zał.1_WPF_bazowy'!O34</f>
        <v>0</v>
      </c>
      <c r="Q41" s="322">
        <f>+'Zał.1_WPF_bazowy'!P34</f>
        <v>0</v>
      </c>
      <c r="R41" s="322">
        <f>+'Zał.1_WPF_bazowy'!Q34</f>
        <v>0</v>
      </c>
      <c r="S41" s="322">
        <f>+'Zał.1_WPF_bazowy'!R34</f>
        <v>0</v>
      </c>
      <c r="T41" s="322">
        <f>+'Zał.1_WPF_bazowy'!S34</f>
        <v>0</v>
      </c>
      <c r="U41" s="322" t="e">
        <f>+'Zał.1_WPF_bazowy'!#REF!</f>
        <v>#REF!</v>
      </c>
      <c r="V41" s="322" t="e">
        <f>+'Zał.1_WPF_bazowy'!#REF!</f>
        <v>#REF!</v>
      </c>
      <c r="W41" s="322" t="e">
        <f>+'Zał.1_WPF_bazowy'!#REF!</f>
        <v>#REF!</v>
      </c>
      <c r="X41" s="322" t="e">
        <f>+'Zał.1_WPF_bazowy'!#REF!</f>
        <v>#REF!</v>
      </c>
      <c r="Y41" s="322" t="e">
        <f>+'Zał.1_WPF_bazowy'!#REF!</f>
        <v>#REF!</v>
      </c>
      <c r="Z41" s="322" t="e">
        <f>+'Zał.1_WPF_bazowy'!#REF!</f>
        <v>#REF!</v>
      </c>
      <c r="AA41" s="322" t="e">
        <f>+'Zał.1_WPF_bazowy'!#REF!</f>
        <v>#REF!</v>
      </c>
      <c r="AB41" s="322" t="e">
        <f>+'Zał.1_WPF_bazowy'!#REF!</f>
        <v>#REF!</v>
      </c>
      <c r="AC41" s="322" t="e">
        <f>+'Zał.1_WPF_bazowy'!#REF!</f>
        <v>#REF!</v>
      </c>
      <c r="AD41" s="322" t="e">
        <f>+'Zał.1_WPF_bazowy'!#REF!</f>
        <v>#REF!</v>
      </c>
      <c r="AE41" s="322" t="e">
        <f>+'Zał.1_WPF_bazowy'!#REF!</f>
        <v>#REF!</v>
      </c>
      <c r="AF41" s="322" t="e">
        <f>+'Zał.1_WPF_bazowy'!#REF!</f>
        <v>#REF!</v>
      </c>
      <c r="AG41" s="322" t="e">
        <f>+'Zał.1_WPF_bazowy'!#REF!</f>
        <v>#REF!</v>
      </c>
      <c r="AH41" s="322" t="e">
        <f>+'Zał.1_WPF_bazowy'!#REF!</f>
        <v>#REF!</v>
      </c>
      <c r="AI41" s="322" t="e">
        <f>+'Zał.1_WPF_bazowy'!#REF!</f>
        <v>#REF!</v>
      </c>
      <c r="AJ41" s="322" t="e">
        <f>+'Zał.1_WPF_bazowy'!#REF!</f>
        <v>#REF!</v>
      </c>
      <c r="AK41" s="322" t="e">
        <f>+'Zał.1_WPF_bazowy'!#REF!</f>
        <v>#REF!</v>
      </c>
      <c r="AL41" s="322" t="e">
        <f>+'Zał.1_WPF_bazowy'!#REF!</f>
        <v>#REF!</v>
      </c>
      <c r="AM41" s="322" t="e">
        <f>+'Zał.1_WPF_bazowy'!#REF!</f>
        <v>#REF!</v>
      </c>
      <c r="AN41" s="323" t="e">
        <f>+'Zał.1_WPF_bazowy'!#REF!</f>
        <v>#REF!</v>
      </c>
    </row>
    <row r="42" spans="1:40" ht="12.75" outlineLevel="2">
      <c r="A42" s="48" t="s">
        <v>66</v>
      </c>
      <c r="B42" s="316"/>
      <c r="C42" s="317"/>
      <c r="D42" s="324"/>
      <c r="E42" s="324"/>
      <c r="F42" s="328" t="s">
        <v>67</v>
      </c>
      <c r="G42" s="318">
        <f>'Zał.1_WPF_bazowy'!F35</f>
        <v>0</v>
      </c>
      <c r="H42" s="319">
        <f>'Zał.1_WPF_bazowy'!G35</f>
        <v>0</v>
      </c>
      <c r="I42" s="319">
        <f>'Zał.1_WPF_bazowy'!H35</f>
        <v>0</v>
      </c>
      <c r="J42" s="320">
        <f>'Zał.1_WPF_bazowy'!I35</f>
        <v>0</v>
      </c>
      <c r="K42" s="321">
        <f>+'Zał.1_WPF_bazowy'!J35</f>
        <v>0</v>
      </c>
      <c r="L42" s="322">
        <f>+'Zał.1_WPF_bazowy'!K35</f>
        <v>0</v>
      </c>
      <c r="M42" s="322">
        <f>+'Zał.1_WPF_bazowy'!L35</f>
        <v>0</v>
      </c>
      <c r="N42" s="322">
        <f>+'Zał.1_WPF_bazowy'!M35</f>
        <v>0</v>
      </c>
      <c r="O42" s="322">
        <f>+'Zał.1_WPF_bazowy'!N35</f>
        <v>0</v>
      </c>
      <c r="P42" s="322">
        <f>+'Zał.1_WPF_bazowy'!O35</f>
        <v>0</v>
      </c>
      <c r="Q42" s="322">
        <f>+'Zał.1_WPF_bazowy'!P35</f>
        <v>0</v>
      </c>
      <c r="R42" s="322">
        <f>+'Zał.1_WPF_bazowy'!Q35</f>
        <v>0</v>
      </c>
      <c r="S42" s="322">
        <f>+'Zał.1_WPF_bazowy'!R35</f>
        <v>0</v>
      </c>
      <c r="T42" s="322">
        <f>+'Zał.1_WPF_bazowy'!S35</f>
        <v>0</v>
      </c>
      <c r="U42" s="322" t="e">
        <f>+'Zał.1_WPF_bazowy'!#REF!</f>
        <v>#REF!</v>
      </c>
      <c r="V42" s="322" t="e">
        <f>+'Zał.1_WPF_bazowy'!#REF!</f>
        <v>#REF!</v>
      </c>
      <c r="W42" s="322" t="e">
        <f>+'Zał.1_WPF_bazowy'!#REF!</f>
        <v>#REF!</v>
      </c>
      <c r="X42" s="322" t="e">
        <f>+'Zał.1_WPF_bazowy'!#REF!</f>
        <v>#REF!</v>
      </c>
      <c r="Y42" s="322" t="e">
        <f>+'Zał.1_WPF_bazowy'!#REF!</f>
        <v>#REF!</v>
      </c>
      <c r="Z42" s="322" t="e">
        <f>+'Zał.1_WPF_bazowy'!#REF!</f>
        <v>#REF!</v>
      </c>
      <c r="AA42" s="322" t="e">
        <f>+'Zał.1_WPF_bazowy'!#REF!</f>
        <v>#REF!</v>
      </c>
      <c r="AB42" s="322" t="e">
        <f>+'Zał.1_WPF_bazowy'!#REF!</f>
        <v>#REF!</v>
      </c>
      <c r="AC42" s="322" t="e">
        <f>+'Zał.1_WPF_bazowy'!#REF!</f>
        <v>#REF!</v>
      </c>
      <c r="AD42" s="322" t="e">
        <f>+'Zał.1_WPF_bazowy'!#REF!</f>
        <v>#REF!</v>
      </c>
      <c r="AE42" s="322" t="e">
        <f>+'Zał.1_WPF_bazowy'!#REF!</f>
        <v>#REF!</v>
      </c>
      <c r="AF42" s="322" t="e">
        <f>+'Zał.1_WPF_bazowy'!#REF!</f>
        <v>#REF!</v>
      </c>
      <c r="AG42" s="322" t="e">
        <f>+'Zał.1_WPF_bazowy'!#REF!</f>
        <v>#REF!</v>
      </c>
      <c r="AH42" s="322" t="e">
        <f>+'Zał.1_WPF_bazowy'!#REF!</f>
        <v>#REF!</v>
      </c>
      <c r="AI42" s="322" t="e">
        <f>+'Zał.1_WPF_bazowy'!#REF!</f>
        <v>#REF!</v>
      </c>
      <c r="AJ42" s="322" t="e">
        <f>+'Zał.1_WPF_bazowy'!#REF!</f>
        <v>#REF!</v>
      </c>
      <c r="AK42" s="322" t="e">
        <f>+'Zał.1_WPF_bazowy'!#REF!</f>
        <v>#REF!</v>
      </c>
      <c r="AL42" s="322" t="e">
        <f>+'Zał.1_WPF_bazowy'!#REF!</f>
        <v>#REF!</v>
      </c>
      <c r="AM42" s="322" t="e">
        <f>+'Zał.1_WPF_bazowy'!#REF!</f>
        <v>#REF!</v>
      </c>
      <c r="AN42" s="323" t="e">
        <f>+'Zał.1_WPF_bazowy'!#REF!</f>
        <v>#REF!</v>
      </c>
    </row>
    <row r="43" spans="1:40" ht="14.25" customHeight="1" outlineLevel="2">
      <c r="A43" s="48" t="s">
        <v>68</v>
      </c>
      <c r="B43" s="316"/>
      <c r="C43" s="317"/>
      <c r="D43" s="316" t="s">
        <v>69</v>
      </c>
      <c r="E43" s="316"/>
      <c r="F43" s="316"/>
      <c r="G43" s="318">
        <f>'Zał.1_WPF_bazowy'!F36</f>
        <v>0</v>
      </c>
      <c r="H43" s="319">
        <f>'Zał.1_WPF_bazowy'!G36</f>
        <v>0</v>
      </c>
      <c r="I43" s="319">
        <f>'Zał.1_WPF_bazowy'!H36</f>
        <v>0</v>
      </c>
      <c r="J43" s="320">
        <f>'Zał.1_WPF_bazowy'!I36</f>
        <v>0</v>
      </c>
      <c r="K43" s="321">
        <f>+'Zał.1_WPF_bazowy'!J36</f>
        <v>0</v>
      </c>
      <c r="L43" s="322">
        <f>+'Zał.1_WPF_bazowy'!K36</f>
        <v>0</v>
      </c>
      <c r="M43" s="322">
        <f>+'Zał.1_WPF_bazowy'!L36</f>
        <v>0</v>
      </c>
      <c r="N43" s="322">
        <f>+'Zał.1_WPF_bazowy'!M36</f>
        <v>0</v>
      </c>
      <c r="O43" s="322">
        <f>+'Zał.1_WPF_bazowy'!N36</f>
        <v>0</v>
      </c>
      <c r="P43" s="322">
        <f>+'Zał.1_WPF_bazowy'!O36</f>
        <v>0</v>
      </c>
      <c r="Q43" s="322">
        <f>+'Zał.1_WPF_bazowy'!P36</f>
        <v>0</v>
      </c>
      <c r="R43" s="322">
        <f>+'Zał.1_WPF_bazowy'!Q36</f>
        <v>0</v>
      </c>
      <c r="S43" s="322">
        <f>+'Zał.1_WPF_bazowy'!R36</f>
        <v>0</v>
      </c>
      <c r="T43" s="322">
        <f>+'Zał.1_WPF_bazowy'!S36</f>
        <v>0</v>
      </c>
      <c r="U43" s="322" t="e">
        <f>+'Zał.1_WPF_bazowy'!#REF!</f>
        <v>#REF!</v>
      </c>
      <c r="V43" s="322" t="e">
        <f>+'Zał.1_WPF_bazowy'!#REF!</f>
        <v>#REF!</v>
      </c>
      <c r="W43" s="322" t="e">
        <f>+'Zał.1_WPF_bazowy'!#REF!</f>
        <v>#REF!</v>
      </c>
      <c r="X43" s="322" t="e">
        <f>+'Zał.1_WPF_bazowy'!#REF!</f>
        <v>#REF!</v>
      </c>
      <c r="Y43" s="322" t="e">
        <f>+'Zał.1_WPF_bazowy'!#REF!</f>
        <v>#REF!</v>
      </c>
      <c r="Z43" s="322" t="e">
        <f>+'Zał.1_WPF_bazowy'!#REF!</f>
        <v>#REF!</v>
      </c>
      <c r="AA43" s="322" t="e">
        <f>+'Zał.1_WPF_bazowy'!#REF!</f>
        <v>#REF!</v>
      </c>
      <c r="AB43" s="322" t="e">
        <f>+'Zał.1_WPF_bazowy'!#REF!</f>
        <v>#REF!</v>
      </c>
      <c r="AC43" s="322" t="e">
        <f>+'Zał.1_WPF_bazowy'!#REF!</f>
        <v>#REF!</v>
      </c>
      <c r="AD43" s="322" t="e">
        <f>+'Zał.1_WPF_bazowy'!#REF!</f>
        <v>#REF!</v>
      </c>
      <c r="AE43" s="322" t="e">
        <f>+'Zał.1_WPF_bazowy'!#REF!</f>
        <v>#REF!</v>
      </c>
      <c r="AF43" s="322" t="e">
        <f>+'Zał.1_WPF_bazowy'!#REF!</f>
        <v>#REF!</v>
      </c>
      <c r="AG43" s="322" t="e">
        <f>+'Zał.1_WPF_bazowy'!#REF!</f>
        <v>#REF!</v>
      </c>
      <c r="AH43" s="322" t="e">
        <f>+'Zał.1_WPF_bazowy'!#REF!</f>
        <v>#REF!</v>
      </c>
      <c r="AI43" s="322" t="e">
        <f>+'Zał.1_WPF_bazowy'!#REF!</f>
        <v>#REF!</v>
      </c>
      <c r="AJ43" s="322" t="e">
        <f>+'Zał.1_WPF_bazowy'!#REF!</f>
        <v>#REF!</v>
      </c>
      <c r="AK43" s="322" t="e">
        <f>+'Zał.1_WPF_bazowy'!#REF!</f>
        <v>#REF!</v>
      </c>
      <c r="AL43" s="322" t="e">
        <f>+'Zał.1_WPF_bazowy'!#REF!</f>
        <v>#REF!</v>
      </c>
      <c r="AM43" s="322" t="e">
        <f>+'Zał.1_WPF_bazowy'!#REF!</f>
        <v>#REF!</v>
      </c>
      <c r="AN43" s="323" t="e">
        <f>+'Zał.1_WPF_bazowy'!#REF!</f>
        <v>#REF!</v>
      </c>
    </row>
    <row r="44" spans="1:40" s="315" customFormat="1" ht="15" customHeight="1" outlineLevel="1">
      <c r="A44" s="307">
        <v>6</v>
      </c>
      <c r="B44" s="308"/>
      <c r="C44" s="309" t="s">
        <v>70</v>
      </c>
      <c r="D44" s="309"/>
      <c r="E44" s="309"/>
      <c r="F44" s="309"/>
      <c r="G44" s="310">
        <f>'Zał.1_WPF_bazowy'!F37</f>
        <v>12848122.14</v>
      </c>
      <c r="H44" s="311">
        <f>'Zał.1_WPF_bazowy'!G37</f>
        <v>13906544.86</v>
      </c>
      <c r="I44" s="311">
        <f>'Zał.1_WPF_bazowy'!H37</f>
        <v>15821291.95</v>
      </c>
      <c r="J44" s="329">
        <f>'Zał.1_WPF_bazowy'!I37</f>
        <v>15503368.16</v>
      </c>
      <c r="K44" s="330">
        <f>+IF(K10&lt;&gt;0,J44+K35-K40+(K49-J49)+(K99-J99)+K104,0)</f>
        <v>15503368.16</v>
      </c>
      <c r="L44" s="331">
        <f aca="true" t="shared" si="5" ref="L44:AN44">+IF(L10&lt;&gt;0,K44+L35-L40+(L49-K49)+(L99-K99)+L104,0)</f>
        <v>14203368.16</v>
      </c>
      <c r="M44" s="331">
        <f t="shared" si="5"/>
        <v>12353368.16</v>
      </c>
      <c r="N44" s="331">
        <f t="shared" si="5"/>
        <v>10353368.16</v>
      </c>
      <c r="O44" s="331">
        <f t="shared" si="5"/>
        <v>8153368.16</v>
      </c>
      <c r="P44" s="331">
        <f t="shared" si="5"/>
        <v>6053368.16</v>
      </c>
      <c r="Q44" s="331">
        <f t="shared" si="5"/>
        <v>4053368.16</v>
      </c>
      <c r="R44" s="331">
        <f t="shared" si="5"/>
        <v>2053368.1600000001</v>
      </c>
      <c r="S44" s="331">
        <f t="shared" si="5"/>
        <v>1053368.1600000001</v>
      </c>
      <c r="T44" s="331">
        <f t="shared" si="5"/>
        <v>0</v>
      </c>
      <c r="U44" s="331" t="e">
        <f t="shared" si="5"/>
        <v>#REF!</v>
      </c>
      <c r="V44" s="331" t="e">
        <f t="shared" si="5"/>
        <v>#REF!</v>
      </c>
      <c r="W44" s="331" t="e">
        <f t="shared" si="5"/>
        <v>#REF!</v>
      </c>
      <c r="X44" s="331" t="e">
        <f t="shared" si="5"/>
        <v>#REF!</v>
      </c>
      <c r="Y44" s="331" t="e">
        <f t="shared" si="5"/>
        <v>#REF!</v>
      </c>
      <c r="Z44" s="331" t="e">
        <f t="shared" si="5"/>
        <v>#REF!</v>
      </c>
      <c r="AA44" s="331" t="e">
        <f t="shared" si="5"/>
        <v>#REF!</v>
      </c>
      <c r="AB44" s="331" t="e">
        <f t="shared" si="5"/>
        <v>#REF!</v>
      </c>
      <c r="AC44" s="331" t="e">
        <f t="shared" si="5"/>
        <v>#REF!</v>
      </c>
      <c r="AD44" s="331" t="e">
        <f t="shared" si="5"/>
        <v>#REF!</v>
      </c>
      <c r="AE44" s="331" t="e">
        <f t="shared" si="5"/>
        <v>#REF!</v>
      </c>
      <c r="AF44" s="331" t="e">
        <f t="shared" si="5"/>
        <v>#REF!</v>
      </c>
      <c r="AG44" s="331" t="e">
        <f t="shared" si="5"/>
        <v>#REF!</v>
      </c>
      <c r="AH44" s="331" t="e">
        <f t="shared" si="5"/>
        <v>#REF!</v>
      </c>
      <c r="AI44" s="331" t="e">
        <f t="shared" si="5"/>
        <v>#REF!</v>
      </c>
      <c r="AJ44" s="331" t="e">
        <f t="shared" si="5"/>
        <v>#REF!</v>
      </c>
      <c r="AK44" s="331" t="e">
        <f t="shared" si="5"/>
        <v>#REF!</v>
      </c>
      <c r="AL44" s="331" t="e">
        <f t="shared" si="5"/>
        <v>#REF!</v>
      </c>
      <c r="AM44" s="331" t="e">
        <f t="shared" si="5"/>
        <v>#REF!</v>
      </c>
      <c r="AN44" s="332" t="e">
        <f t="shared" si="5"/>
        <v>#REF!</v>
      </c>
    </row>
    <row r="45" spans="1:40" ht="36" customHeight="1" outlineLevel="2">
      <c r="A45" s="48" t="s">
        <v>71</v>
      </c>
      <c r="B45" s="316"/>
      <c r="C45" s="317"/>
      <c r="D45" s="316" t="s">
        <v>72</v>
      </c>
      <c r="E45" s="316"/>
      <c r="F45" s="316"/>
      <c r="G45" s="318">
        <f>'Zał.1_WPF_bazowy'!F38</f>
        <v>0</v>
      </c>
      <c r="H45" s="319">
        <f>'Zał.1_WPF_bazowy'!G38</f>
        <v>0</v>
      </c>
      <c r="I45" s="319">
        <f>'Zał.1_WPF_bazowy'!H38</f>
        <v>0</v>
      </c>
      <c r="J45" s="320">
        <f>'Zał.1_WPF_bazowy'!I38</f>
        <v>0</v>
      </c>
      <c r="K45" s="321">
        <f>+'Zał.1_WPF_bazowy'!J38</f>
        <v>0</v>
      </c>
      <c r="L45" s="322">
        <f>+'Zał.1_WPF_bazowy'!K38</f>
        <v>0</v>
      </c>
      <c r="M45" s="322">
        <f>+'Zał.1_WPF_bazowy'!L38</f>
        <v>0</v>
      </c>
      <c r="N45" s="322">
        <f>+'Zał.1_WPF_bazowy'!M38</f>
        <v>0</v>
      </c>
      <c r="O45" s="322">
        <f>+'Zał.1_WPF_bazowy'!N38</f>
        <v>0</v>
      </c>
      <c r="P45" s="322">
        <f>+'Zał.1_WPF_bazowy'!O38</f>
        <v>0</v>
      </c>
      <c r="Q45" s="322">
        <f>+'Zał.1_WPF_bazowy'!P38</f>
        <v>0</v>
      </c>
      <c r="R45" s="322">
        <f>+'Zał.1_WPF_bazowy'!Q38</f>
        <v>0</v>
      </c>
      <c r="S45" s="322">
        <f>+'Zał.1_WPF_bazowy'!R38</f>
        <v>0</v>
      </c>
      <c r="T45" s="322">
        <f>+'Zał.1_WPF_bazowy'!S38</f>
        <v>0</v>
      </c>
      <c r="U45" s="322" t="e">
        <f>+'Zał.1_WPF_bazowy'!#REF!</f>
        <v>#REF!</v>
      </c>
      <c r="V45" s="322" t="e">
        <f>+'Zał.1_WPF_bazowy'!#REF!</f>
        <v>#REF!</v>
      </c>
      <c r="W45" s="322" t="e">
        <f>+'Zał.1_WPF_bazowy'!#REF!</f>
        <v>#REF!</v>
      </c>
      <c r="X45" s="322" t="e">
        <f>+'Zał.1_WPF_bazowy'!#REF!</f>
        <v>#REF!</v>
      </c>
      <c r="Y45" s="322" t="e">
        <f>+'Zał.1_WPF_bazowy'!#REF!</f>
        <v>#REF!</v>
      </c>
      <c r="Z45" s="322" t="e">
        <f>+'Zał.1_WPF_bazowy'!#REF!</f>
        <v>#REF!</v>
      </c>
      <c r="AA45" s="322" t="e">
        <f>+'Zał.1_WPF_bazowy'!#REF!</f>
        <v>#REF!</v>
      </c>
      <c r="AB45" s="322" t="e">
        <f>+'Zał.1_WPF_bazowy'!#REF!</f>
        <v>#REF!</v>
      </c>
      <c r="AC45" s="322" t="e">
        <f>+'Zał.1_WPF_bazowy'!#REF!</f>
        <v>#REF!</v>
      </c>
      <c r="AD45" s="322" t="e">
        <f>+'Zał.1_WPF_bazowy'!#REF!</f>
        <v>#REF!</v>
      </c>
      <c r="AE45" s="322" t="e">
        <f>+'Zał.1_WPF_bazowy'!#REF!</f>
        <v>#REF!</v>
      </c>
      <c r="AF45" s="322" t="e">
        <f>+'Zał.1_WPF_bazowy'!#REF!</f>
        <v>#REF!</v>
      </c>
      <c r="AG45" s="322" t="e">
        <f>+'Zał.1_WPF_bazowy'!#REF!</f>
        <v>#REF!</v>
      </c>
      <c r="AH45" s="322" t="e">
        <f>+'Zał.1_WPF_bazowy'!#REF!</f>
        <v>#REF!</v>
      </c>
      <c r="AI45" s="322" t="e">
        <f>+'Zał.1_WPF_bazowy'!#REF!</f>
        <v>#REF!</v>
      </c>
      <c r="AJ45" s="322" t="e">
        <f>+'Zał.1_WPF_bazowy'!#REF!</f>
        <v>#REF!</v>
      </c>
      <c r="AK45" s="322" t="e">
        <f>+'Zał.1_WPF_bazowy'!#REF!</f>
        <v>#REF!</v>
      </c>
      <c r="AL45" s="322" t="e">
        <f>+'Zał.1_WPF_bazowy'!#REF!</f>
        <v>#REF!</v>
      </c>
      <c r="AM45" s="322" t="e">
        <f>+'Zał.1_WPF_bazowy'!#REF!</f>
        <v>#REF!</v>
      </c>
      <c r="AN45" s="323" t="e">
        <f>+'Zał.1_WPF_bazowy'!#REF!</f>
        <v>#REF!</v>
      </c>
    </row>
    <row r="46" spans="1:40" ht="24" customHeight="1" outlineLevel="2">
      <c r="A46" s="48" t="s">
        <v>73</v>
      </c>
      <c r="B46" s="316"/>
      <c r="C46" s="317"/>
      <c r="D46" s="324"/>
      <c r="E46" s="316" t="s">
        <v>362</v>
      </c>
      <c r="F46" s="316"/>
      <c r="G46" s="318">
        <f>'Zał.1_WPF_bazowy'!F39</f>
        <v>0</v>
      </c>
      <c r="H46" s="319">
        <f>'Zał.1_WPF_bazowy'!G39</f>
        <v>0</v>
      </c>
      <c r="I46" s="319">
        <f>'Zał.1_WPF_bazowy'!H39</f>
        <v>0</v>
      </c>
      <c r="J46" s="320">
        <f>'Zał.1_WPF_bazowy'!I39</f>
        <v>0</v>
      </c>
      <c r="K46" s="321">
        <f>+'Zał.1_WPF_bazowy'!J39</f>
        <v>0</v>
      </c>
      <c r="L46" s="322">
        <f>+'Zał.1_WPF_bazowy'!K39</f>
        <v>0</v>
      </c>
      <c r="M46" s="322">
        <f>+'Zał.1_WPF_bazowy'!L39</f>
        <v>0</v>
      </c>
      <c r="N46" s="322">
        <f>+'Zał.1_WPF_bazowy'!M39</f>
        <v>0</v>
      </c>
      <c r="O46" s="322">
        <f>+'Zał.1_WPF_bazowy'!N39</f>
        <v>0</v>
      </c>
      <c r="P46" s="322">
        <f>+'Zał.1_WPF_bazowy'!O39</f>
        <v>0</v>
      </c>
      <c r="Q46" s="322">
        <f>+'Zał.1_WPF_bazowy'!P39</f>
        <v>0</v>
      </c>
      <c r="R46" s="322">
        <f>+'Zał.1_WPF_bazowy'!Q39</f>
        <v>0</v>
      </c>
      <c r="S46" s="322">
        <f>+'Zał.1_WPF_bazowy'!R39</f>
        <v>0</v>
      </c>
      <c r="T46" s="322">
        <f>+'Zał.1_WPF_bazowy'!S39</f>
        <v>0</v>
      </c>
      <c r="U46" s="322" t="e">
        <f>+'Zał.1_WPF_bazowy'!#REF!</f>
        <v>#REF!</v>
      </c>
      <c r="V46" s="322" t="e">
        <f>+'Zał.1_WPF_bazowy'!#REF!</f>
        <v>#REF!</v>
      </c>
      <c r="W46" s="322" t="e">
        <f>+'Zał.1_WPF_bazowy'!#REF!</f>
        <v>#REF!</v>
      </c>
      <c r="X46" s="322" t="e">
        <f>+'Zał.1_WPF_bazowy'!#REF!</f>
        <v>#REF!</v>
      </c>
      <c r="Y46" s="322" t="e">
        <f>+'Zał.1_WPF_bazowy'!#REF!</f>
        <v>#REF!</v>
      </c>
      <c r="Z46" s="322" t="e">
        <f>+'Zał.1_WPF_bazowy'!#REF!</f>
        <v>#REF!</v>
      </c>
      <c r="AA46" s="322" t="e">
        <f>+'Zał.1_WPF_bazowy'!#REF!</f>
        <v>#REF!</v>
      </c>
      <c r="AB46" s="322" t="e">
        <f>+'Zał.1_WPF_bazowy'!#REF!</f>
        <v>#REF!</v>
      </c>
      <c r="AC46" s="322" t="e">
        <f>+'Zał.1_WPF_bazowy'!#REF!</f>
        <v>#REF!</v>
      </c>
      <c r="AD46" s="322" t="e">
        <f>+'Zał.1_WPF_bazowy'!#REF!</f>
        <v>#REF!</v>
      </c>
      <c r="AE46" s="322" t="e">
        <f>+'Zał.1_WPF_bazowy'!#REF!</f>
        <v>#REF!</v>
      </c>
      <c r="AF46" s="322" t="e">
        <f>+'Zał.1_WPF_bazowy'!#REF!</f>
        <v>#REF!</v>
      </c>
      <c r="AG46" s="322" t="e">
        <f>+'Zał.1_WPF_bazowy'!#REF!</f>
        <v>#REF!</v>
      </c>
      <c r="AH46" s="322" t="e">
        <f>+'Zał.1_WPF_bazowy'!#REF!</f>
        <v>#REF!</v>
      </c>
      <c r="AI46" s="322" t="e">
        <f>+'Zał.1_WPF_bazowy'!#REF!</f>
        <v>#REF!</v>
      </c>
      <c r="AJ46" s="322" t="e">
        <f>+'Zał.1_WPF_bazowy'!#REF!</f>
        <v>#REF!</v>
      </c>
      <c r="AK46" s="322" t="e">
        <f>+'Zał.1_WPF_bazowy'!#REF!</f>
        <v>#REF!</v>
      </c>
      <c r="AL46" s="322" t="e">
        <f>+'Zał.1_WPF_bazowy'!#REF!</f>
        <v>#REF!</v>
      </c>
      <c r="AM46" s="322" t="e">
        <f>+'Zał.1_WPF_bazowy'!#REF!</f>
        <v>#REF!</v>
      </c>
      <c r="AN46" s="323" t="e">
        <f>+'Zał.1_WPF_bazowy'!#REF!</f>
        <v>#REF!</v>
      </c>
    </row>
    <row r="47" spans="1:40" ht="24" customHeight="1" outlineLevel="2">
      <c r="A47" s="48" t="s">
        <v>75</v>
      </c>
      <c r="B47" s="316" t="s">
        <v>363</v>
      </c>
      <c r="C47" s="317"/>
      <c r="D47" s="316" t="s">
        <v>364</v>
      </c>
      <c r="E47" s="316"/>
      <c r="F47" s="316"/>
      <c r="G47" s="333">
        <f>'Zał.1_WPF_bazowy'!F40</f>
        <v>0.4081</v>
      </c>
      <c r="H47" s="334">
        <f>'Zał.1_WPF_bazowy'!G40</f>
        <v>0.4477</v>
      </c>
      <c r="I47" s="334">
        <f>'Zał.1_WPF_bazowy'!H40</f>
        <v>0.4441</v>
      </c>
      <c r="J47" s="335">
        <f>+IF(J10&lt;&gt;0,J44/J10,"-")</f>
        <v>0.4501765190868901</v>
      </c>
      <c r="K47" s="336">
        <f>+IF(K10&lt;&gt;0,K44/K10,"-")</f>
        <v>0.4853379196012872</v>
      </c>
      <c r="L47" s="337">
        <f aca="true" t="shared" si="6" ref="L47:AN47">+IF(L10&lt;&gt;0,L44/L10,"-")</f>
        <v>0.4623101757540322</v>
      </c>
      <c r="M47" s="337">
        <f t="shared" si="6"/>
        <v>0.3984957470967742</v>
      </c>
      <c r="N47" s="337">
        <f t="shared" si="6"/>
        <v>0.3286783542857143</v>
      </c>
      <c r="O47" s="337">
        <f t="shared" si="6"/>
        <v>0.254792755</v>
      </c>
      <c r="P47" s="337">
        <f t="shared" si="6"/>
        <v>0.18625748184615384</v>
      </c>
      <c r="Q47" s="337">
        <f t="shared" si="6"/>
        <v>0.12282933818181818</v>
      </c>
      <c r="R47" s="337">
        <f t="shared" si="6"/>
        <v>0.06129457194029851</v>
      </c>
      <c r="S47" s="337">
        <f t="shared" si="6"/>
        <v>0.03098141647058824</v>
      </c>
      <c r="T47" s="337">
        <f t="shared" si="6"/>
        <v>0</v>
      </c>
      <c r="U47" s="337" t="e">
        <f t="shared" si="6"/>
        <v>#REF!</v>
      </c>
      <c r="V47" s="337" t="e">
        <f t="shared" si="6"/>
        <v>#REF!</v>
      </c>
      <c r="W47" s="337" t="e">
        <f t="shared" si="6"/>
        <v>#REF!</v>
      </c>
      <c r="X47" s="337" t="e">
        <f t="shared" si="6"/>
        <v>#REF!</v>
      </c>
      <c r="Y47" s="337" t="e">
        <f t="shared" si="6"/>
        <v>#REF!</v>
      </c>
      <c r="Z47" s="337" t="e">
        <f t="shared" si="6"/>
        <v>#REF!</v>
      </c>
      <c r="AA47" s="337" t="e">
        <f t="shared" si="6"/>
        <v>#REF!</v>
      </c>
      <c r="AB47" s="337" t="e">
        <f t="shared" si="6"/>
        <v>#REF!</v>
      </c>
      <c r="AC47" s="337" t="e">
        <f t="shared" si="6"/>
        <v>#REF!</v>
      </c>
      <c r="AD47" s="337" t="e">
        <f t="shared" si="6"/>
        <v>#REF!</v>
      </c>
      <c r="AE47" s="337" t="e">
        <f t="shared" si="6"/>
        <v>#REF!</v>
      </c>
      <c r="AF47" s="337" t="e">
        <f t="shared" si="6"/>
        <v>#REF!</v>
      </c>
      <c r="AG47" s="337" t="e">
        <f t="shared" si="6"/>
        <v>#REF!</v>
      </c>
      <c r="AH47" s="337" t="e">
        <f t="shared" si="6"/>
        <v>#REF!</v>
      </c>
      <c r="AI47" s="337" t="e">
        <f t="shared" si="6"/>
        <v>#REF!</v>
      </c>
      <c r="AJ47" s="337" t="e">
        <f t="shared" si="6"/>
        <v>#REF!</v>
      </c>
      <c r="AK47" s="337" t="e">
        <f t="shared" si="6"/>
        <v>#REF!</v>
      </c>
      <c r="AL47" s="337" t="e">
        <f t="shared" si="6"/>
        <v>#REF!</v>
      </c>
      <c r="AM47" s="337" t="e">
        <f t="shared" si="6"/>
        <v>#REF!</v>
      </c>
      <c r="AN47" s="335" t="e">
        <f t="shared" si="6"/>
        <v>#REF!</v>
      </c>
    </row>
    <row r="48" spans="1:40" ht="24" customHeight="1" outlineLevel="2">
      <c r="A48" s="48" t="s">
        <v>77</v>
      </c>
      <c r="B48" s="316" t="s">
        <v>365</v>
      </c>
      <c r="C48" s="317"/>
      <c r="D48" s="316" t="s">
        <v>366</v>
      </c>
      <c r="E48" s="316"/>
      <c r="F48" s="316"/>
      <c r="G48" s="333">
        <f>'Zał.1_WPF_bazowy'!F41</f>
        <v>0.4081</v>
      </c>
      <c r="H48" s="334">
        <f>'Zał.1_WPF_bazowy'!G41</f>
        <v>0.4477</v>
      </c>
      <c r="I48" s="334">
        <f>'Zał.1_WPF_bazowy'!H41</f>
        <v>0.4441</v>
      </c>
      <c r="J48" s="335">
        <f>+IF(J10&lt;&gt;0,(J44-J45)/J10,"-")</f>
        <v>0.4501765190868901</v>
      </c>
      <c r="K48" s="336">
        <f>+IF(K10&lt;&gt;0,(K44-K45)/K10,"-")</f>
        <v>0.4853379196012872</v>
      </c>
      <c r="L48" s="337">
        <f aca="true" t="shared" si="7" ref="L48:AN48">+IF(L10&lt;&gt;0,(L44-L45)/L10,"-")</f>
        <v>0.4623101757540322</v>
      </c>
      <c r="M48" s="337">
        <f t="shared" si="7"/>
        <v>0.3984957470967742</v>
      </c>
      <c r="N48" s="337">
        <f t="shared" si="7"/>
        <v>0.3286783542857143</v>
      </c>
      <c r="O48" s="337">
        <f t="shared" si="7"/>
        <v>0.254792755</v>
      </c>
      <c r="P48" s="337">
        <f t="shared" si="7"/>
        <v>0.18625748184615384</v>
      </c>
      <c r="Q48" s="337">
        <f t="shared" si="7"/>
        <v>0.12282933818181818</v>
      </c>
      <c r="R48" s="337">
        <f t="shared" si="7"/>
        <v>0.06129457194029851</v>
      </c>
      <c r="S48" s="337">
        <f t="shared" si="7"/>
        <v>0.03098141647058824</v>
      </c>
      <c r="T48" s="337">
        <f t="shared" si="7"/>
        <v>0</v>
      </c>
      <c r="U48" s="337" t="e">
        <f t="shared" si="7"/>
        <v>#REF!</v>
      </c>
      <c r="V48" s="337" t="e">
        <f t="shared" si="7"/>
        <v>#REF!</v>
      </c>
      <c r="W48" s="337" t="e">
        <f t="shared" si="7"/>
        <v>#REF!</v>
      </c>
      <c r="X48" s="337" t="e">
        <f t="shared" si="7"/>
        <v>#REF!</v>
      </c>
      <c r="Y48" s="337" t="e">
        <f t="shared" si="7"/>
        <v>#REF!</v>
      </c>
      <c r="Z48" s="337" t="e">
        <f t="shared" si="7"/>
        <v>#REF!</v>
      </c>
      <c r="AA48" s="337" t="e">
        <f t="shared" si="7"/>
        <v>#REF!</v>
      </c>
      <c r="AB48" s="337" t="e">
        <f t="shared" si="7"/>
        <v>#REF!</v>
      </c>
      <c r="AC48" s="337" t="e">
        <f t="shared" si="7"/>
        <v>#REF!</v>
      </c>
      <c r="AD48" s="337" t="e">
        <f t="shared" si="7"/>
        <v>#REF!</v>
      </c>
      <c r="AE48" s="337" t="e">
        <f t="shared" si="7"/>
        <v>#REF!</v>
      </c>
      <c r="AF48" s="337" t="e">
        <f t="shared" si="7"/>
        <v>#REF!</v>
      </c>
      <c r="AG48" s="337" t="e">
        <f t="shared" si="7"/>
        <v>#REF!</v>
      </c>
      <c r="AH48" s="337" t="e">
        <f t="shared" si="7"/>
        <v>#REF!</v>
      </c>
      <c r="AI48" s="337" t="e">
        <f t="shared" si="7"/>
        <v>#REF!</v>
      </c>
      <c r="AJ48" s="337" t="e">
        <f t="shared" si="7"/>
        <v>#REF!</v>
      </c>
      <c r="AK48" s="337" t="e">
        <f t="shared" si="7"/>
        <v>#REF!</v>
      </c>
      <c r="AL48" s="337" t="e">
        <f t="shared" si="7"/>
        <v>#REF!</v>
      </c>
      <c r="AM48" s="337" t="e">
        <f t="shared" si="7"/>
        <v>#REF!</v>
      </c>
      <c r="AN48" s="335" t="e">
        <f t="shared" si="7"/>
        <v>#REF!</v>
      </c>
    </row>
    <row r="49" spans="1:40" s="315" customFormat="1" ht="48" customHeight="1" outlineLevel="1">
      <c r="A49" s="307">
        <v>7</v>
      </c>
      <c r="B49" s="308"/>
      <c r="C49" s="309" t="s">
        <v>79</v>
      </c>
      <c r="D49" s="309"/>
      <c r="E49" s="309"/>
      <c r="F49" s="309"/>
      <c r="G49" s="310">
        <f>'Zał.1_WPF_bazowy'!F42</f>
        <v>0</v>
      </c>
      <c r="H49" s="311">
        <f>'Zał.1_WPF_bazowy'!G42</f>
        <v>0</v>
      </c>
      <c r="I49" s="311">
        <f>'Zał.1_WPF_bazowy'!H42</f>
        <v>0</v>
      </c>
      <c r="J49" s="329">
        <f>'Zał.1_WPF_bazowy'!I42</f>
        <v>0</v>
      </c>
      <c r="K49" s="338">
        <f>+'Zał.1_WPF_bazowy'!J42</f>
        <v>0</v>
      </c>
      <c r="L49" s="339">
        <f>+'Zał.1_WPF_bazowy'!K42</f>
        <v>0</v>
      </c>
      <c r="M49" s="339">
        <f>+'Zał.1_WPF_bazowy'!L42</f>
        <v>0</v>
      </c>
      <c r="N49" s="339">
        <f>+'Zał.1_WPF_bazowy'!M42</f>
        <v>0</v>
      </c>
      <c r="O49" s="339">
        <f>+'Zał.1_WPF_bazowy'!N42</f>
        <v>0</v>
      </c>
      <c r="P49" s="339">
        <f>+'Zał.1_WPF_bazowy'!O42</f>
        <v>0</v>
      </c>
      <c r="Q49" s="339">
        <f>+'Zał.1_WPF_bazowy'!P42</f>
        <v>0</v>
      </c>
      <c r="R49" s="339">
        <f>+'Zał.1_WPF_bazowy'!Q42</f>
        <v>0</v>
      </c>
      <c r="S49" s="339">
        <f>+'Zał.1_WPF_bazowy'!R42</f>
        <v>0</v>
      </c>
      <c r="T49" s="339">
        <f>+'Zał.1_WPF_bazowy'!S42</f>
        <v>0</v>
      </c>
      <c r="U49" s="339" t="e">
        <f>+'Zał.1_WPF_bazowy'!#REF!</f>
        <v>#REF!</v>
      </c>
      <c r="V49" s="339" t="e">
        <f>+'Zał.1_WPF_bazowy'!#REF!</f>
        <v>#REF!</v>
      </c>
      <c r="W49" s="339" t="e">
        <f>+'Zał.1_WPF_bazowy'!#REF!</f>
        <v>#REF!</v>
      </c>
      <c r="X49" s="339" t="e">
        <f>+'Zał.1_WPF_bazowy'!#REF!</f>
        <v>#REF!</v>
      </c>
      <c r="Y49" s="339" t="e">
        <f>+'Zał.1_WPF_bazowy'!#REF!</f>
        <v>#REF!</v>
      </c>
      <c r="Z49" s="339" t="e">
        <f>+'Zał.1_WPF_bazowy'!#REF!</f>
        <v>#REF!</v>
      </c>
      <c r="AA49" s="339" t="e">
        <f>+'Zał.1_WPF_bazowy'!#REF!</f>
        <v>#REF!</v>
      </c>
      <c r="AB49" s="339" t="e">
        <f>+'Zał.1_WPF_bazowy'!#REF!</f>
        <v>#REF!</v>
      </c>
      <c r="AC49" s="339" t="e">
        <f>+'Zał.1_WPF_bazowy'!#REF!</f>
        <v>#REF!</v>
      </c>
      <c r="AD49" s="339" t="e">
        <f>+'Zał.1_WPF_bazowy'!#REF!</f>
        <v>#REF!</v>
      </c>
      <c r="AE49" s="339" t="e">
        <f>+'Zał.1_WPF_bazowy'!#REF!</f>
        <v>#REF!</v>
      </c>
      <c r="AF49" s="339" t="e">
        <f>+'Zał.1_WPF_bazowy'!#REF!</f>
        <v>#REF!</v>
      </c>
      <c r="AG49" s="339" t="e">
        <f>+'Zał.1_WPF_bazowy'!#REF!</f>
        <v>#REF!</v>
      </c>
      <c r="AH49" s="339" t="e">
        <f>+'Zał.1_WPF_bazowy'!#REF!</f>
        <v>#REF!</v>
      </c>
      <c r="AI49" s="339" t="e">
        <f>+'Zał.1_WPF_bazowy'!#REF!</f>
        <v>#REF!</v>
      </c>
      <c r="AJ49" s="339" t="e">
        <f>+'Zał.1_WPF_bazowy'!#REF!</f>
        <v>#REF!</v>
      </c>
      <c r="AK49" s="339" t="e">
        <f>+'Zał.1_WPF_bazowy'!#REF!</f>
        <v>#REF!</v>
      </c>
      <c r="AL49" s="339" t="e">
        <f>+'Zał.1_WPF_bazowy'!#REF!</f>
        <v>#REF!</v>
      </c>
      <c r="AM49" s="339" t="e">
        <f>+'Zał.1_WPF_bazowy'!#REF!</f>
        <v>#REF!</v>
      </c>
      <c r="AN49" s="340" t="e">
        <f>+'Zał.1_WPF_bazowy'!#REF!</f>
        <v>#REF!</v>
      </c>
    </row>
    <row r="50" spans="1:40" s="315" customFormat="1" ht="24" customHeight="1" outlineLevel="1">
      <c r="A50" s="307">
        <v>8</v>
      </c>
      <c r="B50" s="308"/>
      <c r="C50" s="309" t="s">
        <v>80</v>
      </c>
      <c r="D50" s="309"/>
      <c r="E50" s="309"/>
      <c r="F50" s="309"/>
      <c r="G50" s="341" t="s">
        <v>39</v>
      </c>
      <c r="H50" s="342" t="s">
        <v>39</v>
      </c>
      <c r="I50" s="342" t="s">
        <v>39</v>
      </c>
      <c r="J50" s="343" t="s">
        <v>39</v>
      </c>
      <c r="K50" s="344" t="s">
        <v>39</v>
      </c>
      <c r="L50" s="345" t="s">
        <v>39</v>
      </c>
      <c r="M50" s="345" t="s">
        <v>39</v>
      </c>
      <c r="N50" s="345" t="s">
        <v>39</v>
      </c>
      <c r="O50" s="345" t="s">
        <v>39</v>
      </c>
      <c r="P50" s="345" t="s">
        <v>39</v>
      </c>
      <c r="Q50" s="345" t="s">
        <v>39</v>
      </c>
      <c r="R50" s="345" t="s">
        <v>39</v>
      </c>
      <c r="S50" s="345" t="s">
        <v>39</v>
      </c>
      <c r="T50" s="345" t="s">
        <v>39</v>
      </c>
      <c r="U50" s="345" t="s">
        <v>39</v>
      </c>
      <c r="V50" s="345" t="s">
        <v>39</v>
      </c>
      <c r="W50" s="345" t="s">
        <v>39</v>
      </c>
      <c r="X50" s="345" t="s">
        <v>39</v>
      </c>
      <c r="Y50" s="345" t="s">
        <v>39</v>
      </c>
      <c r="Z50" s="345" t="s">
        <v>39</v>
      </c>
      <c r="AA50" s="345" t="s">
        <v>39</v>
      </c>
      <c r="AB50" s="345" t="s">
        <v>39</v>
      </c>
      <c r="AC50" s="345" t="s">
        <v>39</v>
      </c>
      <c r="AD50" s="345" t="s">
        <v>39</v>
      </c>
      <c r="AE50" s="345" t="s">
        <v>39</v>
      </c>
      <c r="AF50" s="345" t="s">
        <v>39</v>
      </c>
      <c r="AG50" s="345" t="s">
        <v>39</v>
      </c>
      <c r="AH50" s="345" t="s">
        <v>39</v>
      </c>
      <c r="AI50" s="345" t="s">
        <v>39</v>
      </c>
      <c r="AJ50" s="345" t="s">
        <v>39</v>
      </c>
      <c r="AK50" s="345" t="s">
        <v>39</v>
      </c>
      <c r="AL50" s="345" t="s">
        <v>39</v>
      </c>
      <c r="AM50" s="345" t="s">
        <v>39</v>
      </c>
      <c r="AN50" s="346" t="s">
        <v>39</v>
      </c>
    </row>
    <row r="51" spans="1:40" ht="14.25" customHeight="1" outlineLevel="2">
      <c r="A51" s="48" t="s">
        <v>81</v>
      </c>
      <c r="B51" s="316" t="s">
        <v>367</v>
      </c>
      <c r="C51" s="317"/>
      <c r="D51" s="316" t="s">
        <v>82</v>
      </c>
      <c r="E51" s="316"/>
      <c r="F51" s="316"/>
      <c r="G51" s="318">
        <f>'Zał.1_WPF_bazowy'!F44</f>
        <v>686104.21</v>
      </c>
      <c r="H51" s="319">
        <f>'Zał.1_WPF_bazowy'!G44</f>
        <v>2283237.55</v>
      </c>
      <c r="I51" s="319">
        <f>'Zał.1_WPF_bazowy'!H44</f>
        <v>697224.01</v>
      </c>
      <c r="J51" s="347">
        <f>+J11-J22</f>
        <v>2632856.16</v>
      </c>
      <c r="K51" s="348">
        <f>+K11-K22</f>
        <v>3620880.3500000015</v>
      </c>
      <c r="L51" s="349">
        <f aca="true" t="shared" si="8" ref="L51:AN51">+L11-L22</f>
        <v>3843659.5600000024</v>
      </c>
      <c r="M51" s="349">
        <f t="shared" si="8"/>
        <v>3850000</v>
      </c>
      <c r="N51" s="349">
        <f t="shared" si="8"/>
        <v>4080000</v>
      </c>
      <c r="O51" s="349">
        <f t="shared" si="8"/>
        <v>4210000</v>
      </c>
      <c r="P51" s="349">
        <f t="shared" si="8"/>
        <v>4270000</v>
      </c>
      <c r="Q51" s="349">
        <f t="shared" si="8"/>
        <v>4330000</v>
      </c>
      <c r="R51" s="349">
        <f t="shared" si="8"/>
        <v>4360000</v>
      </c>
      <c r="S51" s="349">
        <f t="shared" si="8"/>
        <v>4390000</v>
      </c>
      <c r="T51" s="349">
        <f t="shared" si="8"/>
        <v>4440000</v>
      </c>
      <c r="U51" s="349" t="e">
        <f t="shared" si="8"/>
        <v>#REF!</v>
      </c>
      <c r="V51" s="349" t="e">
        <f t="shared" si="8"/>
        <v>#REF!</v>
      </c>
      <c r="W51" s="349" t="e">
        <f t="shared" si="8"/>
        <v>#REF!</v>
      </c>
      <c r="X51" s="349" t="e">
        <f t="shared" si="8"/>
        <v>#REF!</v>
      </c>
      <c r="Y51" s="349" t="e">
        <f t="shared" si="8"/>
        <v>#REF!</v>
      </c>
      <c r="Z51" s="349" t="e">
        <f t="shared" si="8"/>
        <v>#REF!</v>
      </c>
      <c r="AA51" s="349" t="e">
        <f t="shared" si="8"/>
        <v>#REF!</v>
      </c>
      <c r="AB51" s="349" t="e">
        <f t="shared" si="8"/>
        <v>#REF!</v>
      </c>
      <c r="AC51" s="349" t="e">
        <f t="shared" si="8"/>
        <v>#REF!</v>
      </c>
      <c r="AD51" s="349" t="e">
        <f t="shared" si="8"/>
        <v>#REF!</v>
      </c>
      <c r="AE51" s="349" t="e">
        <f t="shared" si="8"/>
        <v>#REF!</v>
      </c>
      <c r="AF51" s="349" t="e">
        <f t="shared" si="8"/>
        <v>#REF!</v>
      </c>
      <c r="AG51" s="349" t="e">
        <f t="shared" si="8"/>
        <v>#REF!</v>
      </c>
      <c r="AH51" s="349" t="e">
        <f t="shared" si="8"/>
        <v>#REF!</v>
      </c>
      <c r="AI51" s="349" t="e">
        <f t="shared" si="8"/>
        <v>#REF!</v>
      </c>
      <c r="AJ51" s="349" t="e">
        <f t="shared" si="8"/>
        <v>#REF!</v>
      </c>
      <c r="AK51" s="349" t="e">
        <f t="shared" si="8"/>
        <v>#REF!</v>
      </c>
      <c r="AL51" s="349" t="e">
        <f t="shared" si="8"/>
        <v>#REF!</v>
      </c>
      <c r="AM51" s="349" t="e">
        <f t="shared" si="8"/>
        <v>#REF!</v>
      </c>
      <c r="AN51" s="347" t="e">
        <f t="shared" si="8"/>
        <v>#REF!</v>
      </c>
    </row>
    <row r="52" spans="1:40" ht="36" customHeight="1" outlineLevel="2">
      <c r="A52" s="48" t="s">
        <v>83</v>
      </c>
      <c r="B52" s="316" t="s">
        <v>368</v>
      </c>
      <c r="C52" s="317"/>
      <c r="D52" s="316" t="s">
        <v>84</v>
      </c>
      <c r="E52" s="316"/>
      <c r="F52" s="316"/>
      <c r="G52" s="318">
        <f>'Zał.1_WPF_bazowy'!F45</f>
        <v>686104.21</v>
      </c>
      <c r="H52" s="319">
        <f>'Zał.1_WPF_bazowy'!G45</f>
        <v>2283237.55</v>
      </c>
      <c r="I52" s="319">
        <f>'Zał.1_WPF_bazowy'!H45</f>
        <v>3654017.85</v>
      </c>
      <c r="J52" s="347">
        <f>+J11+J31+J33-J22</f>
        <v>5589650</v>
      </c>
      <c r="K52" s="348">
        <f>+K11+K31+K33-(K22-K25)</f>
        <v>6228291.570000004</v>
      </c>
      <c r="L52" s="349">
        <f>+L11+L31+L33-(L22-L25)</f>
        <v>3843659.5600000024</v>
      </c>
      <c r="M52" s="349">
        <f>+M11+M31+M33-(M22-M25)</f>
        <v>3850000</v>
      </c>
      <c r="N52" s="349">
        <f>+N11+N31+N33-N22</f>
        <v>4080000</v>
      </c>
      <c r="O52" s="349">
        <f aca="true" t="shared" si="9" ref="O52:AN52">+O11+O31+O33-O22</f>
        <v>4210000</v>
      </c>
      <c r="P52" s="349">
        <f t="shared" si="9"/>
        <v>4270000</v>
      </c>
      <c r="Q52" s="349">
        <f t="shared" si="9"/>
        <v>4330000</v>
      </c>
      <c r="R52" s="349">
        <f t="shared" si="9"/>
        <v>4360000</v>
      </c>
      <c r="S52" s="349">
        <f t="shared" si="9"/>
        <v>4390000</v>
      </c>
      <c r="T52" s="349">
        <f t="shared" si="9"/>
        <v>4440000</v>
      </c>
      <c r="U52" s="349" t="e">
        <f t="shared" si="9"/>
        <v>#REF!</v>
      </c>
      <c r="V52" s="349" t="e">
        <f t="shared" si="9"/>
        <v>#REF!</v>
      </c>
      <c r="W52" s="349" t="e">
        <f t="shared" si="9"/>
        <v>#REF!</v>
      </c>
      <c r="X52" s="349" t="e">
        <f t="shared" si="9"/>
        <v>#REF!</v>
      </c>
      <c r="Y52" s="349" t="e">
        <f t="shared" si="9"/>
        <v>#REF!</v>
      </c>
      <c r="Z52" s="349" t="e">
        <f t="shared" si="9"/>
        <v>#REF!</v>
      </c>
      <c r="AA52" s="349" t="e">
        <f t="shared" si="9"/>
        <v>#REF!</v>
      </c>
      <c r="AB52" s="349" t="e">
        <f t="shared" si="9"/>
        <v>#REF!</v>
      </c>
      <c r="AC52" s="349" t="e">
        <f t="shared" si="9"/>
        <v>#REF!</v>
      </c>
      <c r="AD52" s="349" t="e">
        <f t="shared" si="9"/>
        <v>#REF!</v>
      </c>
      <c r="AE52" s="349" t="e">
        <f t="shared" si="9"/>
        <v>#REF!</v>
      </c>
      <c r="AF52" s="349" t="e">
        <f t="shared" si="9"/>
        <v>#REF!</v>
      </c>
      <c r="AG52" s="349" t="e">
        <f t="shared" si="9"/>
        <v>#REF!</v>
      </c>
      <c r="AH52" s="349" t="e">
        <f t="shared" si="9"/>
        <v>#REF!</v>
      </c>
      <c r="AI52" s="349" t="e">
        <f t="shared" si="9"/>
        <v>#REF!</v>
      </c>
      <c r="AJ52" s="349" t="e">
        <f t="shared" si="9"/>
        <v>#REF!</v>
      </c>
      <c r="AK52" s="349" t="e">
        <f t="shared" si="9"/>
        <v>#REF!</v>
      </c>
      <c r="AL52" s="349" t="e">
        <f t="shared" si="9"/>
        <v>#REF!</v>
      </c>
      <c r="AM52" s="349" t="e">
        <f t="shared" si="9"/>
        <v>#REF!</v>
      </c>
      <c r="AN52" s="347" t="e">
        <f t="shared" si="9"/>
        <v>#REF!</v>
      </c>
    </row>
    <row r="53" spans="1:40" s="315" customFormat="1" ht="12.75" customHeight="1" outlineLevel="1">
      <c r="A53" s="307">
        <v>9</v>
      </c>
      <c r="B53" s="308"/>
      <c r="C53" s="309" t="s">
        <v>85</v>
      </c>
      <c r="D53" s="309"/>
      <c r="E53" s="309"/>
      <c r="F53" s="309"/>
      <c r="G53" s="341" t="s">
        <v>39</v>
      </c>
      <c r="H53" s="342" t="s">
        <v>39</v>
      </c>
      <c r="I53" s="342" t="s">
        <v>39</v>
      </c>
      <c r="J53" s="343" t="s">
        <v>39</v>
      </c>
      <c r="K53" s="344" t="s">
        <v>39</v>
      </c>
      <c r="L53" s="345" t="s">
        <v>39</v>
      </c>
      <c r="M53" s="345" t="s">
        <v>39</v>
      </c>
      <c r="N53" s="345" t="s">
        <v>39</v>
      </c>
      <c r="O53" s="345" t="s">
        <v>39</v>
      </c>
      <c r="P53" s="345" t="s">
        <v>39</v>
      </c>
      <c r="Q53" s="345" t="s">
        <v>39</v>
      </c>
      <c r="R53" s="345" t="s">
        <v>39</v>
      </c>
      <c r="S53" s="345" t="s">
        <v>39</v>
      </c>
      <c r="T53" s="345" t="s">
        <v>39</v>
      </c>
      <c r="U53" s="345" t="s">
        <v>39</v>
      </c>
      <c r="V53" s="345" t="s">
        <v>39</v>
      </c>
      <c r="W53" s="345" t="s">
        <v>39</v>
      </c>
      <c r="X53" s="345" t="s">
        <v>39</v>
      </c>
      <c r="Y53" s="345" t="s">
        <v>39</v>
      </c>
      <c r="Z53" s="345" t="s">
        <v>39</v>
      </c>
      <c r="AA53" s="345" t="s">
        <v>39</v>
      </c>
      <c r="AB53" s="345" t="s">
        <v>39</v>
      </c>
      <c r="AC53" s="345" t="s">
        <v>39</v>
      </c>
      <c r="AD53" s="345" t="s">
        <v>39</v>
      </c>
      <c r="AE53" s="345" t="s">
        <v>39</v>
      </c>
      <c r="AF53" s="345" t="s">
        <v>39</v>
      </c>
      <c r="AG53" s="345" t="s">
        <v>39</v>
      </c>
      <c r="AH53" s="345" t="s">
        <v>39</v>
      </c>
      <c r="AI53" s="345" t="s">
        <v>39</v>
      </c>
      <c r="AJ53" s="345" t="s">
        <v>39</v>
      </c>
      <c r="AK53" s="345" t="s">
        <v>39</v>
      </c>
      <c r="AL53" s="345" t="s">
        <v>39</v>
      </c>
      <c r="AM53" s="345" t="s">
        <v>39</v>
      </c>
      <c r="AN53" s="346" t="s">
        <v>39</v>
      </c>
    </row>
    <row r="54" spans="1:40" ht="36" customHeight="1" outlineLevel="2">
      <c r="A54" s="48" t="s">
        <v>86</v>
      </c>
      <c r="B54" s="316" t="s">
        <v>369</v>
      </c>
      <c r="C54" s="317"/>
      <c r="D54" s="316" t="s">
        <v>87</v>
      </c>
      <c r="E54" s="316"/>
      <c r="F54" s="316"/>
      <c r="G54" s="333">
        <f>'Zał.1_WPF_bazowy'!F47</f>
        <v>0.0756</v>
      </c>
      <c r="H54" s="334">
        <f>'Zał.1_WPF_bazowy'!G47</f>
        <v>0.1061</v>
      </c>
      <c r="I54" s="334">
        <f>'Zał.1_WPF_bazowy'!H47</f>
        <v>0.0797</v>
      </c>
      <c r="J54" s="335">
        <f>+IF(J10&lt;&gt;0,(J23+J27+J40)/J10,"-")</f>
        <v>0.07823634907978315</v>
      </c>
      <c r="K54" s="336">
        <f>+IF(K10&lt;&gt;0,(K23+K27+K40)/K10,"-")</f>
        <v>0.10061530226851924</v>
      </c>
      <c r="L54" s="337">
        <f aca="true" t="shared" si="10" ref="L54:AN54">+IF(L10&lt;&gt;0,(L23+L27+L40)/L10,"-")</f>
        <v>0.07030656168168421</v>
      </c>
      <c r="M54" s="337">
        <f t="shared" si="10"/>
        <v>0.08419354838709678</v>
      </c>
      <c r="N54" s="337">
        <f t="shared" si="10"/>
        <v>0.08031746031746032</v>
      </c>
      <c r="O54" s="337">
        <f t="shared" si="10"/>
        <v>0.08125</v>
      </c>
      <c r="P54" s="337">
        <f t="shared" si="10"/>
        <v>0.07507692307692308</v>
      </c>
      <c r="Q54" s="337">
        <f t="shared" si="10"/>
        <v>0.06909090909090909</v>
      </c>
      <c r="R54" s="337">
        <f t="shared" si="10"/>
        <v>0.06716417910447761</v>
      </c>
      <c r="S54" s="337">
        <f t="shared" si="10"/>
        <v>0.03561764705882353</v>
      </c>
      <c r="T54" s="337">
        <f t="shared" si="10"/>
        <v>0.033981685797101445</v>
      </c>
      <c r="U54" s="337" t="e">
        <f t="shared" si="10"/>
        <v>#REF!</v>
      </c>
      <c r="V54" s="337" t="e">
        <f t="shared" si="10"/>
        <v>#REF!</v>
      </c>
      <c r="W54" s="337" t="e">
        <f t="shared" si="10"/>
        <v>#REF!</v>
      </c>
      <c r="X54" s="337" t="e">
        <f t="shared" si="10"/>
        <v>#REF!</v>
      </c>
      <c r="Y54" s="337" t="e">
        <f t="shared" si="10"/>
        <v>#REF!</v>
      </c>
      <c r="Z54" s="337" t="e">
        <f t="shared" si="10"/>
        <v>#REF!</v>
      </c>
      <c r="AA54" s="337" t="e">
        <f t="shared" si="10"/>
        <v>#REF!</v>
      </c>
      <c r="AB54" s="337" t="e">
        <f t="shared" si="10"/>
        <v>#REF!</v>
      </c>
      <c r="AC54" s="337" t="e">
        <f t="shared" si="10"/>
        <v>#REF!</v>
      </c>
      <c r="AD54" s="337" t="e">
        <f t="shared" si="10"/>
        <v>#REF!</v>
      </c>
      <c r="AE54" s="337" t="e">
        <f t="shared" si="10"/>
        <v>#REF!</v>
      </c>
      <c r="AF54" s="337" t="e">
        <f t="shared" si="10"/>
        <v>#REF!</v>
      </c>
      <c r="AG54" s="337" t="e">
        <f t="shared" si="10"/>
        <v>#REF!</v>
      </c>
      <c r="AH54" s="337" t="e">
        <f t="shared" si="10"/>
        <v>#REF!</v>
      </c>
      <c r="AI54" s="337" t="e">
        <f t="shared" si="10"/>
        <v>#REF!</v>
      </c>
      <c r="AJ54" s="337" t="e">
        <f t="shared" si="10"/>
        <v>#REF!</v>
      </c>
      <c r="AK54" s="337" t="e">
        <f t="shared" si="10"/>
        <v>#REF!</v>
      </c>
      <c r="AL54" s="337" t="e">
        <f t="shared" si="10"/>
        <v>#REF!</v>
      </c>
      <c r="AM54" s="337" t="e">
        <f t="shared" si="10"/>
        <v>#REF!</v>
      </c>
      <c r="AN54" s="335" t="e">
        <f t="shared" si="10"/>
        <v>#REF!</v>
      </c>
    </row>
    <row r="55" spans="1:40" ht="36" customHeight="1" outlineLevel="2">
      <c r="A55" s="48" t="s">
        <v>88</v>
      </c>
      <c r="B55" s="316" t="s">
        <v>370</v>
      </c>
      <c r="C55" s="317"/>
      <c r="D55" s="316" t="s">
        <v>89</v>
      </c>
      <c r="E55" s="316"/>
      <c r="F55" s="316"/>
      <c r="G55" s="333">
        <f>'Zał.1_WPF_bazowy'!F48</f>
        <v>0.0756</v>
      </c>
      <c r="H55" s="334">
        <f>'Zał.1_WPF_bazowy'!G48</f>
        <v>0.1061</v>
      </c>
      <c r="I55" s="334">
        <f>'Zał.1_WPF_bazowy'!H48</f>
        <v>0.0797</v>
      </c>
      <c r="J55" s="335">
        <f>+IF(J10&lt;&gt;0,(J23+J27+J40-J41)/J10,"-")</f>
        <v>0.07823634907978315</v>
      </c>
      <c r="K55" s="336">
        <f>+IF(K10&lt;&gt;0,(K23+K27+K40-K41)/K10,"-")</f>
        <v>0.10061530226851924</v>
      </c>
      <c r="L55" s="337">
        <f aca="true" t="shared" si="11" ref="L55:AN55">+IF(L10&lt;&gt;0,(L23+L27+L40-L41)/L10,"-")</f>
        <v>0.07030656168168421</v>
      </c>
      <c r="M55" s="337">
        <f t="shared" si="11"/>
        <v>0.08419354838709678</v>
      </c>
      <c r="N55" s="337">
        <f t="shared" si="11"/>
        <v>0.08031746031746032</v>
      </c>
      <c r="O55" s="337">
        <f t="shared" si="11"/>
        <v>0.08125</v>
      </c>
      <c r="P55" s="337">
        <f t="shared" si="11"/>
        <v>0.07507692307692308</v>
      </c>
      <c r="Q55" s="337">
        <f t="shared" si="11"/>
        <v>0.06909090909090909</v>
      </c>
      <c r="R55" s="337">
        <f t="shared" si="11"/>
        <v>0.06716417910447761</v>
      </c>
      <c r="S55" s="337">
        <f t="shared" si="11"/>
        <v>0.03561764705882353</v>
      </c>
      <c r="T55" s="337">
        <f t="shared" si="11"/>
        <v>0.033981685797101445</v>
      </c>
      <c r="U55" s="337" t="e">
        <f t="shared" si="11"/>
        <v>#REF!</v>
      </c>
      <c r="V55" s="337" t="e">
        <f t="shared" si="11"/>
        <v>#REF!</v>
      </c>
      <c r="W55" s="337" t="e">
        <f t="shared" si="11"/>
        <v>#REF!</v>
      </c>
      <c r="X55" s="337" t="e">
        <f t="shared" si="11"/>
        <v>#REF!</v>
      </c>
      <c r="Y55" s="337" t="e">
        <f t="shared" si="11"/>
        <v>#REF!</v>
      </c>
      <c r="Z55" s="337" t="e">
        <f t="shared" si="11"/>
        <v>#REF!</v>
      </c>
      <c r="AA55" s="337" t="e">
        <f t="shared" si="11"/>
        <v>#REF!</v>
      </c>
      <c r="AB55" s="337" t="e">
        <f t="shared" si="11"/>
        <v>#REF!</v>
      </c>
      <c r="AC55" s="337" t="e">
        <f t="shared" si="11"/>
        <v>#REF!</v>
      </c>
      <c r="AD55" s="337" t="e">
        <f t="shared" si="11"/>
        <v>#REF!</v>
      </c>
      <c r="AE55" s="337" t="e">
        <f t="shared" si="11"/>
        <v>#REF!</v>
      </c>
      <c r="AF55" s="337" t="e">
        <f t="shared" si="11"/>
        <v>#REF!</v>
      </c>
      <c r="AG55" s="337" t="e">
        <f t="shared" si="11"/>
        <v>#REF!</v>
      </c>
      <c r="AH55" s="337" t="e">
        <f t="shared" si="11"/>
        <v>#REF!</v>
      </c>
      <c r="AI55" s="337" t="e">
        <f t="shared" si="11"/>
        <v>#REF!</v>
      </c>
      <c r="AJ55" s="337" t="e">
        <f t="shared" si="11"/>
        <v>#REF!</v>
      </c>
      <c r="AK55" s="337" t="e">
        <f t="shared" si="11"/>
        <v>#REF!</v>
      </c>
      <c r="AL55" s="337" t="e">
        <f t="shared" si="11"/>
        <v>#REF!</v>
      </c>
      <c r="AM55" s="337" t="e">
        <f t="shared" si="11"/>
        <v>#REF!</v>
      </c>
      <c r="AN55" s="335" t="e">
        <f t="shared" si="11"/>
        <v>#REF!</v>
      </c>
    </row>
    <row r="56" spans="1:40" ht="60" customHeight="1" outlineLevel="2">
      <c r="A56" s="48" t="s">
        <v>90</v>
      </c>
      <c r="B56" s="316" t="s">
        <v>369</v>
      </c>
      <c r="C56" s="317"/>
      <c r="D56" s="316" t="s">
        <v>91</v>
      </c>
      <c r="E56" s="316"/>
      <c r="F56" s="316"/>
      <c r="G56" s="333">
        <f>'Zał.1_WPF_bazowy'!F49</f>
        <v>0.0756</v>
      </c>
      <c r="H56" s="334">
        <f>'Zał.1_WPF_bazowy'!G49</f>
        <v>0.1061</v>
      </c>
      <c r="I56" s="334">
        <f>'Zał.1_WPF_bazowy'!H49</f>
        <v>0.0797</v>
      </c>
      <c r="J56" s="335">
        <f>+IF(J10&lt;&gt;0,(J23+J27+J40)/J10,"-")</f>
        <v>0.07823634907978315</v>
      </c>
      <c r="K56" s="336">
        <f>+IF(K10&lt;&gt;0,(K23+K27+K40)/K10,"-")</f>
        <v>0.10061530226851924</v>
      </c>
      <c r="L56" s="337">
        <f aca="true" t="shared" si="12" ref="L56:AN56">+IF(L10&lt;&gt;0,(L23+L27+L40)/L10,"-")</f>
        <v>0.07030656168168421</v>
      </c>
      <c r="M56" s="337">
        <f t="shared" si="12"/>
        <v>0.08419354838709678</v>
      </c>
      <c r="N56" s="337">
        <f t="shared" si="12"/>
        <v>0.08031746031746032</v>
      </c>
      <c r="O56" s="337">
        <f t="shared" si="12"/>
        <v>0.08125</v>
      </c>
      <c r="P56" s="337">
        <f t="shared" si="12"/>
        <v>0.07507692307692308</v>
      </c>
      <c r="Q56" s="337">
        <f t="shared" si="12"/>
        <v>0.06909090909090909</v>
      </c>
      <c r="R56" s="337">
        <f t="shared" si="12"/>
        <v>0.06716417910447761</v>
      </c>
      <c r="S56" s="337">
        <f t="shared" si="12"/>
        <v>0.03561764705882353</v>
      </c>
      <c r="T56" s="337">
        <f t="shared" si="12"/>
        <v>0.033981685797101445</v>
      </c>
      <c r="U56" s="337" t="e">
        <f t="shared" si="12"/>
        <v>#REF!</v>
      </c>
      <c r="V56" s="337" t="e">
        <f t="shared" si="12"/>
        <v>#REF!</v>
      </c>
      <c r="W56" s="337" t="e">
        <f t="shared" si="12"/>
        <v>#REF!</v>
      </c>
      <c r="X56" s="337" t="e">
        <f t="shared" si="12"/>
        <v>#REF!</v>
      </c>
      <c r="Y56" s="337" t="e">
        <f t="shared" si="12"/>
        <v>#REF!</v>
      </c>
      <c r="Z56" s="337" t="e">
        <f t="shared" si="12"/>
        <v>#REF!</v>
      </c>
      <c r="AA56" s="337" t="e">
        <f t="shared" si="12"/>
        <v>#REF!</v>
      </c>
      <c r="AB56" s="337" t="e">
        <f t="shared" si="12"/>
        <v>#REF!</v>
      </c>
      <c r="AC56" s="337" t="e">
        <f t="shared" si="12"/>
        <v>#REF!</v>
      </c>
      <c r="AD56" s="337" t="e">
        <f t="shared" si="12"/>
        <v>#REF!</v>
      </c>
      <c r="AE56" s="337" t="e">
        <f t="shared" si="12"/>
        <v>#REF!</v>
      </c>
      <c r="AF56" s="337" t="e">
        <f t="shared" si="12"/>
        <v>#REF!</v>
      </c>
      <c r="AG56" s="337" t="e">
        <f t="shared" si="12"/>
        <v>#REF!</v>
      </c>
      <c r="AH56" s="337" t="e">
        <f t="shared" si="12"/>
        <v>#REF!</v>
      </c>
      <c r="AI56" s="337" t="e">
        <f t="shared" si="12"/>
        <v>#REF!</v>
      </c>
      <c r="AJ56" s="337" t="e">
        <f t="shared" si="12"/>
        <v>#REF!</v>
      </c>
      <c r="AK56" s="337" t="e">
        <f t="shared" si="12"/>
        <v>#REF!</v>
      </c>
      <c r="AL56" s="337" t="e">
        <f t="shared" si="12"/>
        <v>#REF!</v>
      </c>
      <c r="AM56" s="337" t="e">
        <f t="shared" si="12"/>
        <v>#REF!</v>
      </c>
      <c r="AN56" s="335" t="e">
        <f t="shared" si="12"/>
        <v>#REF!</v>
      </c>
    </row>
    <row r="57" spans="1:40" ht="60" customHeight="1" outlineLevel="2">
      <c r="A57" s="48" t="s">
        <v>92</v>
      </c>
      <c r="B57" s="316" t="s">
        <v>370</v>
      </c>
      <c r="C57" s="317"/>
      <c r="D57" s="316" t="s">
        <v>93</v>
      </c>
      <c r="E57" s="316"/>
      <c r="F57" s="316"/>
      <c r="G57" s="333">
        <f>'Zał.1_WPF_bazowy'!F50</f>
        <v>0.0756</v>
      </c>
      <c r="H57" s="334">
        <f>'Zał.1_WPF_bazowy'!G50</f>
        <v>0.1061</v>
      </c>
      <c r="I57" s="334">
        <f>'Zał.1_WPF_bazowy'!H50</f>
        <v>0.0797</v>
      </c>
      <c r="J57" s="335">
        <f>+IF(J10&lt;&gt;0,(J23+J27+J40-J41)/J10,"-")</f>
        <v>0.07823634907978315</v>
      </c>
      <c r="K57" s="336">
        <f>+IF(K10&lt;&gt;0,(K23+K27+K40-K41)/K10,"-")</f>
        <v>0.10061530226851924</v>
      </c>
      <c r="L57" s="337">
        <f aca="true" t="shared" si="13" ref="L57:AN57">+IF(L10&lt;&gt;0,(L23+L27+L40-L41)/L10,"-")</f>
        <v>0.07030656168168421</v>
      </c>
      <c r="M57" s="337">
        <f t="shared" si="13"/>
        <v>0.08419354838709678</v>
      </c>
      <c r="N57" s="337">
        <f t="shared" si="13"/>
        <v>0.08031746031746032</v>
      </c>
      <c r="O57" s="337">
        <f t="shared" si="13"/>
        <v>0.08125</v>
      </c>
      <c r="P57" s="337">
        <f t="shared" si="13"/>
        <v>0.07507692307692308</v>
      </c>
      <c r="Q57" s="337">
        <f t="shared" si="13"/>
        <v>0.06909090909090909</v>
      </c>
      <c r="R57" s="337">
        <f t="shared" si="13"/>
        <v>0.06716417910447761</v>
      </c>
      <c r="S57" s="337">
        <f t="shared" si="13"/>
        <v>0.03561764705882353</v>
      </c>
      <c r="T57" s="337">
        <f t="shared" si="13"/>
        <v>0.033981685797101445</v>
      </c>
      <c r="U57" s="337" t="e">
        <f t="shared" si="13"/>
        <v>#REF!</v>
      </c>
      <c r="V57" s="337" t="e">
        <f t="shared" si="13"/>
        <v>#REF!</v>
      </c>
      <c r="W57" s="337" t="e">
        <f t="shared" si="13"/>
        <v>#REF!</v>
      </c>
      <c r="X57" s="337" t="e">
        <f t="shared" si="13"/>
        <v>#REF!</v>
      </c>
      <c r="Y57" s="337" t="e">
        <f t="shared" si="13"/>
        <v>#REF!</v>
      </c>
      <c r="Z57" s="337" t="e">
        <f t="shared" si="13"/>
        <v>#REF!</v>
      </c>
      <c r="AA57" s="337" t="e">
        <f t="shared" si="13"/>
        <v>#REF!</v>
      </c>
      <c r="AB57" s="337" t="e">
        <f t="shared" si="13"/>
        <v>#REF!</v>
      </c>
      <c r="AC57" s="337" t="e">
        <f t="shared" si="13"/>
        <v>#REF!</v>
      </c>
      <c r="AD57" s="337" t="e">
        <f t="shared" si="13"/>
        <v>#REF!</v>
      </c>
      <c r="AE57" s="337" t="e">
        <f t="shared" si="13"/>
        <v>#REF!</v>
      </c>
      <c r="AF57" s="337" t="e">
        <f t="shared" si="13"/>
        <v>#REF!</v>
      </c>
      <c r="AG57" s="337" t="e">
        <f t="shared" si="13"/>
        <v>#REF!</v>
      </c>
      <c r="AH57" s="337" t="e">
        <f t="shared" si="13"/>
        <v>#REF!</v>
      </c>
      <c r="AI57" s="337" t="e">
        <f t="shared" si="13"/>
        <v>#REF!</v>
      </c>
      <c r="AJ57" s="337" t="e">
        <f t="shared" si="13"/>
        <v>#REF!</v>
      </c>
      <c r="AK57" s="337" t="e">
        <f t="shared" si="13"/>
        <v>#REF!</v>
      </c>
      <c r="AL57" s="337" t="e">
        <f t="shared" si="13"/>
        <v>#REF!</v>
      </c>
      <c r="AM57" s="337" t="e">
        <f t="shared" si="13"/>
        <v>#REF!</v>
      </c>
      <c r="AN57" s="335" t="e">
        <f t="shared" si="13"/>
        <v>#REF!</v>
      </c>
    </row>
    <row r="58" spans="1:40" ht="36" customHeight="1" outlineLevel="2">
      <c r="A58" s="48" t="s">
        <v>94</v>
      </c>
      <c r="B58" s="316"/>
      <c r="C58" s="317"/>
      <c r="D58" s="316" t="s">
        <v>95</v>
      </c>
      <c r="E58" s="316"/>
      <c r="F58" s="316"/>
      <c r="G58" s="318">
        <f>'Zał.1_WPF_bazowy'!F51</f>
        <v>0</v>
      </c>
      <c r="H58" s="319">
        <f>'Zał.1_WPF_bazowy'!G51</f>
        <v>0</v>
      </c>
      <c r="I58" s="319">
        <f>'Zał.1_WPF_bazowy'!H51</f>
        <v>0</v>
      </c>
      <c r="J58" s="320">
        <f>'Zał.1_WPF_bazowy'!I51</f>
        <v>0</v>
      </c>
      <c r="K58" s="321">
        <f>+'Zał.1_WPF_bazowy'!J51</f>
        <v>0</v>
      </c>
      <c r="L58" s="322">
        <f>+'Zał.1_WPF_bazowy'!K51</f>
        <v>0</v>
      </c>
      <c r="M58" s="322">
        <f>+'Zał.1_WPF_bazowy'!L51</f>
        <v>0</v>
      </c>
      <c r="N58" s="322">
        <f>+'Zał.1_WPF_bazowy'!M51</f>
        <v>0</v>
      </c>
      <c r="O58" s="322">
        <f>+'Zał.1_WPF_bazowy'!N51</f>
        <v>0</v>
      </c>
      <c r="P58" s="322">
        <f>+'Zał.1_WPF_bazowy'!O51</f>
        <v>0</v>
      </c>
      <c r="Q58" s="322">
        <f>+'Zał.1_WPF_bazowy'!P51</f>
        <v>0</v>
      </c>
      <c r="R58" s="322">
        <f>+'Zał.1_WPF_bazowy'!Q51</f>
        <v>0</v>
      </c>
      <c r="S58" s="322">
        <f>+'Zał.1_WPF_bazowy'!R51</f>
        <v>0</v>
      </c>
      <c r="T58" s="322">
        <f>+'Zał.1_WPF_bazowy'!S51</f>
        <v>0</v>
      </c>
      <c r="U58" s="322" t="e">
        <f>+'Zał.1_WPF_bazowy'!#REF!</f>
        <v>#REF!</v>
      </c>
      <c r="V58" s="322" t="e">
        <f>+'Zał.1_WPF_bazowy'!#REF!</f>
        <v>#REF!</v>
      </c>
      <c r="W58" s="322" t="e">
        <f>+'Zał.1_WPF_bazowy'!#REF!</f>
        <v>#REF!</v>
      </c>
      <c r="X58" s="322" t="e">
        <f>+'Zał.1_WPF_bazowy'!#REF!</f>
        <v>#REF!</v>
      </c>
      <c r="Y58" s="322" t="e">
        <f>+'Zał.1_WPF_bazowy'!#REF!</f>
        <v>#REF!</v>
      </c>
      <c r="Z58" s="322" t="e">
        <f>+'Zał.1_WPF_bazowy'!#REF!</f>
        <v>#REF!</v>
      </c>
      <c r="AA58" s="322" t="e">
        <f>+'Zał.1_WPF_bazowy'!#REF!</f>
        <v>#REF!</v>
      </c>
      <c r="AB58" s="322" t="e">
        <f>+'Zał.1_WPF_bazowy'!#REF!</f>
        <v>#REF!</v>
      </c>
      <c r="AC58" s="322" t="e">
        <f>+'Zał.1_WPF_bazowy'!#REF!</f>
        <v>#REF!</v>
      </c>
      <c r="AD58" s="322" t="e">
        <f>+'Zał.1_WPF_bazowy'!#REF!</f>
        <v>#REF!</v>
      </c>
      <c r="AE58" s="322" t="e">
        <f>+'Zał.1_WPF_bazowy'!#REF!</f>
        <v>#REF!</v>
      </c>
      <c r="AF58" s="322" t="e">
        <f>+'Zał.1_WPF_bazowy'!#REF!</f>
        <v>#REF!</v>
      </c>
      <c r="AG58" s="322" t="e">
        <f>+'Zał.1_WPF_bazowy'!#REF!</f>
        <v>#REF!</v>
      </c>
      <c r="AH58" s="322" t="e">
        <f>+'Zał.1_WPF_bazowy'!#REF!</f>
        <v>#REF!</v>
      </c>
      <c r="AI58" s="322" t="e">
        <f>+'Zał.1_WPF_bazowy'!#REF!</f>
        <v>#REF!</v>
      </c>
      <c r="AJ58" s="322" t="e">
        <f>+'Zał.1_WPF_bazowy'!#REF!</f>
        <v>#REF!</v>
      </c>
      <c r="AK58" s="322" t="e">
        <f>+'Zał.1_WPF_bazowy'!#REF!</f>
        <v>#REF!</v>
      </c>
      <c r="AL58" s="322" t="e">
        <f>+'Zał.1_WPF_bazowy'!#REF!</f>
        <v>#REF!</v>
      </c>
      <c r="AM58" s="322" t="e">
        <f>+'Zał.1_WPF_bazowy'!#REF!</f>
        <v>#REF!</v>
      </c>
      <c r="AN58" s="323" t="e">
        <f>+'Zał.1_WPF_bazowy'!#REF!</f>
        <v>#REF!</v>
      </c>
    </row>
    <row r="59" spans="1:40" ht="60" customHeight="1" outlineLevel="2">
      <c r="A59" s="48" t="s">
        <v>96</v>
      </c>
      <c r="B59" s="316" t="s">
        <v>371</v>
      </c>
      <c r="C59" s="317"/>
      <c r="D59" s="316" t="s">
        <v>97</v>
      </c>
      <c r="E59" s="316"/>
      <c r="F59" s="316"/>
      <c r="G59" s="333">
        <f>'Zał.1_WPF_bazowy'!F52</f>
        <v>0.0756</v>
      </c>
      <c r="H59" s="334">
        <f>'Zał.1_WPF_bazowy'!G52</f>
        <v>0.1061</v>
      </c>
      <c r="I59" s="334">
        <f>'Zał.1_WPF_bazowy'!H52</f>
        <v>0.0797</v>
      </c>
      <c r="J59" s="335">
        <f>+IF(J10&lt;&gt;0,(J23+J27+J40+J58-J41)/J10,"-")</f>
        <v>0.07823634907978315</v>
      </c>
      <c r="K59" s="336">
        <f>+IF(K10&lt;&gt;0,(K23+K27+K40+K58-K41)/K10,"-")</f>
        <v>0.10061530226851924</v>
      </c>
      <c r="L59" s="337">
        <f aca="true" t="shared" si="14" ref="L59:AN59">+IF(L10&lt;&gt;0,(L23+L27+L40+L58-L41)/L10,"-")</f>
        <v>0.07030656168168421</v>
      </c>
      <c r="M59" s="337">
        <f t="shared" si="14"/>
        <v>0.08419354838709678</v>
      </c>
      <c r="N59" s="337">
        <f t="shared" si="14"/>
        <v>0.08031746031746032</v>
      </c>
      <c r="O59" s="337">
        <f t="shared" si="14"/>
        <v>0.08125</v>
      </c>
      <c r="P59" s="337">
        <f t="shared" si="14"/>
        <v>0.07507692307692308</v>
      </c>
      <c r="Q59" s="337">
        <f t="shared" si="14"/>
        <v>0.06909090909090909</v>
      </c>
      <c r="R59" s="337">
        <f t="shared" si="14"/>
        <v>0.06716417910447761</v>
      </c>
      <c r="S59" s="337">
        <f t="shared" si="14"/>
        <v>0.03561764705882353</v>
      </c>
      <c r="T59" s="337">
        <f t="shared" si="14"/>
        <v>0.033981685797101445</v>
      </c>
      <c r="U59" s="337" t="e">
        <f t="shared" si="14"/>
        <v>#REF!</v>
      </c>
      <c r="V59" s="337" t="e">
        <f t="shared" si="14"/>
        <v>#REF!</v>
      </c>
      <c r="W59" s="337" t="e">
        <f t="shared" si="14"/>
        <v>#REF!</v>
      </c>
      <c r="X59" s="337" t="e">
        <f t="shared" si="14"/>
        <v>#REF!</v>
      </c>
      <c r="Y59" s="337" t="e">
        <f t="shared" si="14"/>
        <v>#REF!</v>
      </c>
      <c r="Z59" s="337" t="e">
        <f t="shared" si="14"/>
        <v>#REF!</v>
      </c>
      <c r="AA59" s="337" t="e">
        <f t="shared" si="14"/>
        <v>#REF!</v>
      </c>
      <c r="AB59" s="337" t="e">
        <f t="shared" si="14"/>
        <v>#REF!</v>
      </c>
      <c r="AC59" s="337" t="e">
        <f t="shared" si="14"/>
        <v>#REF!</v>
      </c>
      <c r="AD59" s="337" t="e">
        <f t="shared" si="14"/>
        <v>#REF!</v>
      </c>
      <c r="AE59" s="337" t="e">
        <f t="shared" si="14"/>
        <v>#REF!</v>
      </c>
      <c r="AF59" s="337" t="e">
        <f t="shared" si="14"/>
        <v>#REF!</v>
      </c>
      <c r="AG59" s="337" t="e">
        <f t="shared" si="14"/>
        <v>#REF!</v>
      </c>
      <c r="AH59" s="337" t="e">
        <f t="shared" si="14"/>
        <v>#REF!</v>
      </c>
      <c r="AI59" s="337" t="e">
        <f t="shared" si="14"/>
        <v>#REF!</v>
      </c>
      <c r="AJ59" s="337" t="e">
        <f t="shared" si="14"/>
        <v>#REF!</v>
      </c>
      <c r="AK59" s="337" t="e">
        <f t="shared" si="14"/>
        <v>#REF!</v>
      </c>
      <c r="AL59" s="337" t="e">
        <f t="shared" si="14"/>
        <v>#REF!</v>
      </c>
      <c r="AM59" s="337" t="e">
        <f t="shared" si="14"/>
        <v>#REF!</v>
      </c>
      <c r="AN59" s="335" t="e">
        <f t="shared" si="14"/>
        <v>#REF!</v>
      </c>
    </row>
    <row r="60" spans="1:40" ht="12.75" outlineLevel="3">
      <c r="A60" s="48" t="s">
        <v>98</v>
      </c>
      <c r="B60" s="316" t="s">
        <v>372</v>
      </c>
      <c r="C60" s="317"/>
      <c r="D60" s="350" t="s">
        <v>373</v>
      </c>
      <c r="E60" s="350"/>
      <c r="F60" s="350"/>
      <c r="G60" s="351">
        <f>+IF(G10&lt;&gt;0,(G11+G19-G22)/G10,0)</f>
        <v>0.06426086160724892</v>
      </c>
      <c r="H60" s="337">
        <f>+IF(H10&lt;&gt;0,(H11+H19-H22)/H10,0)</f>
        <v>0.07433958173302047</v>
      </c>
      <c r="I60" s="337">
        <f>+IF(I10&lt;&gt;0,(I11+I19-I22)/I10,0)</f>
        <v>0.022378770663430053</v>
      </c>
      <c r="J60" s="335">
        <f>+IF(J10&lt;&gt;0,(J11+J19-J22)/J10,0)</f>
        <v>0.08109386139389256</v>
      </c>
      <c r="K60" s="336">
        <f>+IF(K10&lt;&gt;0,(K11+K19-K22)/K10,"-")</f>
        <v>0.11726598745393803</v>
      </c>
      <c r="L60" s="337">
        <f aca="true" t="shared" si="15" ref="L60:AN60">+IF(L10&lt;&gt;0,(L11+L19-L22)/L10,"-")</f>
        <v>0.1251085592308034</v>
      </c>
      <c r="M60" s="337">
        <f t="shared" si="15"/>
        <v>0.12419354838709677</v>
      </c>
      <c r="N60" s="337">
        <f t="shared" si="15"/>
        <v>0.1295238095238095</v>
      </c>
      <c r="O60" s="337">
        <f t="shared" si="15"/>
        <v>0.1315625</v>
      </c>
      <c r="P60" s="337">
        <f t="shared" si="15"/>
        <v>0.13138461538461538</v>
      </c>
      <c r="Q60" s="337">
        <f t="shared" si="15"/>
        <v>0.13121212121212122</v>
      </c>
      <c r="R60" s="337">
        <f t="shared" si="15"/>
        <v>0.13014925373134328</v>
      </c>
      <c r="S60" s="337">
        <f t="shared" si="15"/>
        <v>0.12911764705882353</v>
      </c>
      <c r="T60" s="337">
        <f t="shared" si="15"/>
        <v>0.12869565217391304</v>
      </c>
      <c r="U60" s="337" t="e">
        <f t="shared" si="15"/>
        <v>#REF!</v>
      </c>
      <c r="V60" s="337" t="e">
        <f t="shared" si="15"/>
        <v>#REF!</v>
      </c>
      <c r="W60" s="337" t="e">
        <f t="shared" si="15"/>
        <v>#REF!</v>
      </c>
      <c r="X60" s="337" t="e">
        <f t="shared" si="15"/>
        <v>#REF!</v>
      </c>
      <c r="Y60" s="337" t="e">
        <f t="shared" si="15"/>
        <v>#REF!</v>
      </c>
      <c r="Z60" s="337" t="e">
        <f t="shared" si="15"/>
        <v>#REF!</v>
      </c>
      <c r="AA60" s="337" t="e">
        <f t="shared" si="15"/>
        <v>#REF!</v>
      </c>
      <c r="AB60" s="337" t="e">
        <f t="shared" si="15"/>
        <v>#REF!</v>
      </c>
      <c r="AC60" s="337" t="e">
        <f t="shared" si="15"/>
        <v>#REF!</v>
      </c>
      <c r="AD60" s="337" t="e">
        <f t="shared" si="15"/>
        <v>#REF!</v>
      </c>
      <c r="AE60" s="337" t="e">
        <f t="shared" si="15"/>
        <v>#REF!</v>
      </c>
      <c r="AF60" s="337" t="e">
        <f t="shared" si="15"/>
        <v>#REF!</v>
      </c>
      <c r="AG60" s="337" t="e">
        <f t="shared" si="15"/>
        <v>#REF!</v>
      </c>
      <c r="AH60" s="337" t="e">
        <f t="shared" si="15"/>
        <v>#REF!</v>
      </c>
      <c r="AI60" s="337" t="e">
        <f t="shared" si="15"/>
        <v>#REF!</v>
      </c>
      <c r="AJ60" s="337" t="e">
        <f t="shared" si="15"/>
        <v>#REF!</v>
      </c>
      <c r="AK60" s="337" t="e">
        <f t="shared" si="15"/>
        <v>#REF!</v>
      </c>
      <c r="AL60" s="337" t="e">
        <f t="shared" si="15"/>
        <v>#REF!</v>
      </c>
      <c r="AM60" s="337" t="e">
        <f t="shared" si="15"/>
        <v>#REF!</v>
      </c>
      <c r="AN60" s="335" t="e">
        <f t="shared" si="15"/>
        <v>#REF!</v>
      </c>
    </row>
    <row r="61" spans="1:40" ht="60" customHeight="1" outlineLevel="2">
      <c r="A61" s="48" t="s">
        <v>100</v>
      </c>
      <c r="B61" s="316" t="s">
        <v>374</v>
      </c>
      <c r="C61" s="317"/>
      <c r="D61" s="316" t="s">
        <v>101</v>
      </c>
      <c r="E61" s="316"/>
      <c r="F61" s="316"/>
      <c r="G61" s="333">
        <f>'Zał.1_WPF_bazowy'!F54</f>
        <v>0</v>
      </c>
      <c r="H61" s="334">
        <f>'Zał.1_WPF_bazowy'!G54</f>
        <v>0</v>
      </c>
      <c r="I61" s="334">
        <f>'Zał.1_WPF_bazowy'!H54</f>
        <v>0</v>
      </c>
      <c r="J61" s="335">
        <f>+IF(J10&lt;&gt;0,(H60+G60+F60)/3,"-")</f>
        <v>0.046200147780089795</v>
      </c>
      <c r="K61" s="336">
        <f>+IF(K10&lt;&gt;0,(I60+H60+G60)/3,"-")</f>
        <v>0.053659738001233144</v>
      </c>
      <c r="L61" s="337">
        <f>+IF(L10&lt;&gt;0,(K60+I60+H60)/3,"-")</f>
        <v>0.07132811328346285</v>
      </c>
      <c r="M61" s="337">
        <f>+IF(M10&lt;&gt;0,(L60+K60+I60)/3,"-")</f>
        <v>0.08825110578272384</v>
      </c>
      <c r="N61" s="337">
        <f>+IF(N10&lt;&gt;0,(M60+L60+K60)/3,"-")</f>
        <v>0.12218936502394606</v>
      </c>
      <c r="O61" s="337">
        <f aca="true" t="shared" si="16" ref="O61:AN61">+IF(O10&lt;&gt;0,(N60+M60+L60)/3,"-")</f>
        <v>0.12627530571390322</v>
      </c>
      <c r="P61" s="337">
        <f t="shared" si="16"/>
        <v>0.12842661930363544</v>
      </c>
      <c r="Q61" s="337">
        <f t="shared" si="16"/>
        <v>0.1308236416361416</v>
      </c>
      <c r="R61" s="337">
        <f t="shared" si="16"/>
        <v>0.1313864121989122</v>
      </c>
      <c r="S61" s="337">
        <f t="shared" si="16"/>
        <v>0.13091533010935996</v>
      </c>
      <c r="T61" s="337">
        <f t="shared" si="16"/>
        <v>0.13015967400076267</v>
      </c>
      <c r="U61" s="337" t="e">
        <f t="shared" si="16"/>
        <v>#REF!</v>
      </c>
      <c r="V61" s="337" t="e">
        <f t="shared" si="16"/>
        <v>#REF!</v>
      </c>
      <c r="W61" s="337" t="e">
        <f t="shared" si="16"/>
        <v>#REF!</v>
      </c>
      <c r="X61" s="337" t="e">
        <f t="shared" si="16"/>
        <v>#REF!</v>
      </c>
      <c r="Y61" s="337" t="e">
        <f t="shared" si="16"/>
        <v>#REF!</v>
      </c>
      <c r="Z61" s="337" t="e">
        <f t="shared" si="16"/>
        <v>#REF!</v>
      </c>
      <c r="AA61" s="337" t="e">
        <f t="shared" si="16"/>
        <v>#REF!</v>
      </c>
      <c r="AB61" s="337" t="e">
        <f t="shared" si="16"/>
        <v>#REF!</v>
      </c>
      <c r="AC61" s="337" t="e">
        <f t="shared" si="16"/>
        <v>#REF!</v>
      </c>
      <c r="AD61" s="337" t="e">
        <f t="shared" si="16"/>
        <v>#REF!</v>
      </c>
      <c r="AE61" s="337" t="e">
        <f t="shared" si="16"/>
        <v>#REF!</v>
      </c>
      <c r="AF61" s="337" t="e">
        <f t="shared" si="16"/>
        <v>#REF!</v>
      </c>
      <c r="AG61" s="337" t="e">
        <f t="shared" si="16"/>
        <v>#REF!</v>
      </c>
      <c r="AH61" s="337" t="e">
        <f t="shared" si="16"/>
        <v>#REF!</v>
      </c>
      <c r="AI61" s="337" t="e">
        <f t="shared" si="16"/>
        <v>#REF!</v>
      </c>
      <c r="AJ61" s="337" t="e">
        <f t="shared" si="16"/>
        <v>#REF!</v>
      </c>
      <c r="AK61" s="337" t="e">
        <f t="shared" si="16"/>
        <v>#REF!</v>
      </c>
      <c r="AL61" s="337" t="e">
        <f t="shared" si="16"/>
        <v>#REF!</v>
      </c>
      <c r="AM61" s="337" t="e">
        <f t="shared" si="16"/>
        <v>#REF!</v>
      </c>
      <c r="AN61" s="335" t="e">
        <f t="shared" si="16"/>
        <v>#REF!</v>
      </c>
    </row>
    <row r="62" spans="1:40" ht="60" customHeight="1" outlineLevel="2">
      <c r="A62" s="48" t="s">
        <v>102</v>
      </c>
      <c r="B62" s="316" t="s">
        <v>374</v>
      </c>
      <c r="C62" s="317"/>
      <c r="D62" s="324"/>
      <c r="E62" s="316" t="s">
        <v>103</v>
      </c>
      <c r="F62" s="316"/>
      <c r="G62" s="333">
        <f>'Zał.1_WPF_bazowy'!F55</f>
        <v>0</v>
      </c>
      <c r="H62" s="334">
        <f>'Zał.1_WPF_bazowy'!G55</f>
        <v>0</v>
      </c>
      <c r="I62" s="334">
        <f>'Zał.1_WPF_bazowy'!H55</f>
        <v>0</v>
      </c>
      <c r="J62" s="335">
        <f>+IF(J10&lt;&gt;0,(I60+G60+F60)/3,"-")</f>
        <v>0.028879877423559658</v>
      </c>
      <c r="K62" s="336">
        <f>+IF(K10&lt;&gt;0,(J60+H60+G60)/3,"-")</f>
        <v>0.07323143491138732</v>
      </c>
      <c r="L62" s="337">
        <f>+IF(L10&lt;&gt;0,(K60+J60+H60)/3,"-")</f>
        <v>0.09089981019361702</v>
      </c>
      <c r="M62" s="337">
        <f>+IF(M10&lt;&gt;0,(L60+K60+J60)/3,"-")</f>
        <v>0.10782280269287801</v>
      </c>
      <c r="N62" s="337">
        <f>+IF(N10&lt;&gt;0,(M60+L60+K60)/3,"-")</f>
        <v>0.12218936502394606</v>
      </c>
      <c r="O62" s="337">
        <f aca="true" t="shared" si="17" ref="O62:AN62">+IF(O10&lt;&gt;0,(N60+M60+L60)/3,"-")</f>
        <v>0.12627530571390322</v>
      </c>
      <c r="P62" s="337">
        <f t="shared" si="17"/>
        <v>0.12842661930363544</v>
      </c>
      <c r="Q62" s="337">
        <f t="shared" si="17"/>
        <v>0.1308236416361416</v>
      </c>
      <c r="R62" s="337">
        <f t="shared" si="17"/>
        <v>0.1313864121989122</v>
      </c>
      <c r="S62" s="337">
        <f t="shared" si="17"/>
        <v>0.13091533010935996</v>
      </c>
      <c r="T62" s="337">
        <f t="shared" si="17"/>
        <v>0.13015967400076267</v>
      </c>
      <c r="U62" s="337" t="e">
        <f t="shared" si="17"/>
        <v>#REF!</v>
      </c>
      <c r="V62" s="337" t="e">
        <f t="shared" si="17"/>
        <v>#REF!</v>
      </c>
      <c r="W62" s="337" t="e">
        <f t="shared" si="17"/>
        <v>#REF!</v>
      </c>
      <c r="X62" s="337" t="e">
        <f t="shared" si="17"/>
        <v>#REF!</v>
      </c>
      <c r="Y62" s="337" t="e">
        <f t="shared" si="17"/>
        <v>#REF!</v>
      </c>
      <c r="Z62" s="337" t="e">
        <f t="shared" si="17"/>
        <v>#REF!</v>
      </c>
      <c r="AA62" s="337" t="e">
        <f t="shared" si="17"/>
        <v>#REF!</v>
      </c>
      <c r="AB62" s="337" t="e">
        <f t="shared" si="17"/>
        <v>#REF!</v>
      </c>
      <c r="AC62" s="337" t="e">
        <f t="shared" si="17"/>
        <v>#REF!</v>
      </c>
      <c r="AD62" s="337" t="e">
        <f t="shared" si="17"/>
        <v>#REF!</v>
      </c>
      <c r="AE62" s="337" t="e">
        <f t="shared" si="17"/>
        <v>#REF!</v>
      </c>
      <c r="AF62" s="337" t="e">
        <f t="shared" si="17"/>
        <v>#REF!</v>
      </c>
      <c r="AG62" s="337" t="e">
        <f t="shared" si="17"/>
        <v>#REF!</v>
      </c>
      <c r="AH62" s="337" t="e">
        <f t="shared" si="17"/>
        <v>#REF!</v>
      </c>
      <c r="AI62" s="337" t="e">
        <f t="shared" si="17"/>
        <v>#REF!</v>
      </c>
      <c r="AJ62" s="337" t="e">
        <f t="shared" si="17"/>
        <v>#REF!</v>
      </c>
      <c r="AK62" s="337" t="e">
        <f t="shared" si="17"/>
        <v>#REF!</v>
      </c>
      <c r="AL62" s="337" t="e">
        <f t="shared" si="17"/>
        <v>#REF!</v>
      </c>
      <c r="AM62" s="337" t="e">
        <f t="shared" si="17"/>
        <v>#REF!</v>
      </c>
      <c r="AN62" s="335" t="e">
        <f t="shared" si="17"/>
        <v>#REF!</v>
      </c>
    </row>
    <row r="63" spans="1:40" ht="60" customHeight="1" outlineLevel="2">
      <c r="A63" s="48" t="s">
        <v>104</v>
      </c>
      <c r="B63" s="316" t="s">
        <v>375</v>
      </c>
      <c r="C63" s="317"/>
      <c r="D63" s="352" t="s">
        <v>105</v>
      </c>
      <c r="E63" s="352"/>
      <c r="F63" s="352"/>
      <c r="G63" s="353">
        <f>+IF(G10&lt;&gt;0,IF(G61&gt;=G59,"Spełniona","Nie spełniona"),"-")</f>
        <v>0</v>
      </c>
      <c r="H63" s="354">
        <f aca="true" t="shared" si="18" ref="H63:AN63">+IF(H10&lt;&gt;0,IF(H61&gt;=H59,"Spełniona","Nie spełniona"),"-")</f>
        <v>0</v>
      </c>
      <c r="I63" s="354">
        <f t="shared" si="18"/>
        <v>0</v>
      </c>
      <c r="J63" s="355" t="str">
        <f t="shared" si="18"/>
        <v>Nie spełniona</v>
      </c>
      <c r="K63" s="354">
        <f t="shared" si="18"/>
        <v>0</v>
      </c>
      <c r="L63" s="354">
        <f t="shared" si="18"/>
        <v>0</v>
      </c>
      <c r="M63" s="354">
        <f t="shared" si="18"/>
        <v>0</v>
      </c>
      <c r="N63" s="354">
        <f t="shared" si="18"/>
        <v>0</v>
      </c>
      <c r="O63" s="354">
        <f t="shared" si="18"/>
        <v>0</v>
      </c>
      <c r="P63" s="354">
        <f t="shared" si="18"/>
        <v>0</v>
      </c>
      <c r="Q63" s="354">
        <f t="shared" si="18"/>
        <v>0</v>
      </c>
      <c r="R63" s="354">
        <f t="shared" si="18"/>
        <v>0</v>
      </c>
      <c r="S63" s="354">
        <f t="shared" si="18"/>
        <v>0</v>
      </c>
      <c r="T63" s="354">
        <f t="shared" si="18"/>
        <v>0</v>
      </c>
      <c r="U63" s="354" t="e">
        <f t="shared" si="18"/>
        <v>#REF!</v>
      </c>
      <c r="V63" s="354" t="e">
        <f t="shared" si="18"/>
        <v>#REF!</v>
      </c>
      <c r="W63" s="354" t="e">
        <f t="shared" si="18"/>
        <v>#REF!</v>
      </c>
      <c r="X63" s="354" t="e">
        <f t="shared" si="18"/>
        <v>#REF!</v>
      </c>
      <c r="Y63" s="354" t="e">
        <f t="shared" si="18"/>
        <v>#REF!</v>
      </c>
      <c r="Z63" s="354" t="e">
        <f t="shared" si="18"/>
        <v>#REF!</v>
      </c>
      <c r="AA63" s="354" t="e">
        <f t="shared" si="18"/>
        <v>#REF!</v>
      </c>
      <c r="AB63" s="354" t="e">
        <f t="shared" si="18"/>
        <v>#REF!</v>
      </c>
      <c r="AC63" s="354" t="e">
        <f t="shared" si="18"/>
        <v>#REF!</v>
      </c>
      <c r="AD63" s="354" t="e">
        <f t="shared" si="18"/>
        <v>#REF!</v>
      </c>
      <c r="AE63" s="354" t="e">
        <f t="shared" si="18"/>
        <v>#REF!</v>
      </c>
      <c r="AF63" s="354" t="e">
        <f t="shared" si="18"/>
        <v>#REF!</v>
      </c>
      <c r="AG63" s="354" t="e">
        <f t="shared" si="18"/>
        <v>#REF!</v>
      </c>
      <c r="AH63" s="354" t="e">
        <f t="shared" si="18"/>
        <v>#REF!</v>
      </c>
      <c r="AI63" s="354" t="e">
        <f t="shared" si="18"/>
        <v>#REF!</v>
      </c>
      <c r="AJ63" s="354" t="e">
        <f t="shared" si="18"/>
        <v>#REF!</v>
      </c>
      <c r="AK63" s="354" t="e">
        <f t="shared" si="18"/>
        <v>#REF!</v>
      </c>
      <c r="AL63" s="354" t="e">
        <f t="shared" si="18"/>
        <v>#REF!</v>
      </c>
      <c r="AM63" s="354" t="e">
        <f t="shared" si="18"/>
        <v>#REF!</v>
      </c>
      <c r="AN63" s="355" t="e">
        <f t="shared" si="18"/>
        <v>#REF!</v>
      </c>
    </row>
    <row r="64" spans="1:40" ht="60" customHeight="1" outlineLevel="2">
      <c r="A64" s="48" t="s">
        <v>106</v>
      </c>
      <c r="B64" s="316" t="s">
        <v>376</v>
      </c>
      <c r="C64" s="317"/>
      <c r="D64" s="356"/>
      <c r="E64" s="357" t="s">
        <v>107</v>
      </c>
      <c r="F64" s="357"/>
      <c r="G64" s="353">
        <f>+IF(G10&lt;&gt;0,IF(G62&gt;=G59,"Spełniona","Nie spełniona"),"-")</f>
        <v>0</v>
      </c>
      <c r="H64" s="354">
        <f aca="true" t="shared" si="19" ref="H64:AN64">+IF(H10&lt;&gt;0,IF(H62&gt;=H59,"Spełniona","Nie spełniona"),"-")</f>
        <v>0</v>
      </c>
      <c r="I64" s="354">
        <f t="shared" si="19"/>
        <v>0</v>
      </c>
      <c r="J64" s="355" t="str">
        <f t="shared" si="19"/>
        <v>Nie spełniona</v>
      </c>
      <c r="K64" s="354">
        <f t="shared" si="19"/>
        <v>0</v>
      </c>
      <c r="L64" s="354">
        <f t="shared" si="19"/>
        <v>0</v>
      </c>
      <c r="M64" s="354">
        <f t="shared" si="19"/>
        <v>0</v>
      </c>
      <c r="N64" s="354">
        <f t="shared" si="19"/>
        <v>0</v>
      </c>
      <c r="O64" s="354">
        <f t="shared" si="19"/>
        <v>0</v>
      </c>
      <c r="P64" s="354">
        <f t="shared" si="19"/>
        <v>0</v>
      </c>
      <c r="Q64" s="354">
        <f t="shared" si="19"/>
        <v>0</v>
      </c>
      <c r="R64" s="354">
        <f t="shared" si="19"/>
        <v>0</v>
      </c>
      <c r="S64" s="354">
        <f t="shared" si="19"/>
        <v>0</v>
      </c>
      <c r="T64" s="354">
        <f t="shared" si="19"/>
        <v>0</v>
      </c>
      <c r="U64" s="354" t="e">
        <f t="shared" si="19"/>
        <v>#REF!</v>
      </c>
      <c r="V64" s="354" t="e">
        <f t="shared" si="19"/>
        <v>#REF!</v>
      </c>
      <c r="W64" s="354" t="e">
        <f t="shared" si="19"/>
        <v>#REF!</v>
      </c>
      <c r="X64" s="354" t="e">
        <f t="shared" si="19"/>
        <v>#REF!</v>
      </c>
      <c r="Y64" s="354" t="e">
        <f t="shared" si="19"/>
        <v>#REF!</v>
      </c>
      <c r="Z64" s="354" t="e">
        <f t="shared" si="19"/>
        <v>#REF!</v>
      </c>
      <c r="AA64" s="354" t="e">
        <f t="shared" si="19"/>
        <v>#REF!</v>
      </c>
      <c r="AB64" s="354" t="e">
        <f t="shared" si="19"/>
        <v>#REF!</v>
      </c>
      <c r="AC64" s="354" t="e">
        <f t="shared" si="19"/>
        <v>#REF!</v>
      </c>
      <c r="AD64" s="354" t="e">
        <f t="shared" si="19"/>
        <v>#REF!</v>
      </c>
      <c r="AE64" s="354" t="e">
        <f t="shared" si="19"/>
        <v>#REF!</v>
      </c>
      <c r="AF64" s="354" t="e">
        <f t="shared" si="19"/>
        <v>#REF!</v>
      </c>
      <c r="AG64" s="354" t="e">
        <f t="shared" si="19"/>
        <v>#REF!</v>
      </c>
      <c r="AH64" s="354" t="e">
        <f t="shared" si="19"/>
        <v>#REF!</v>
      </c>
      <c r="AI64" s="354" t="e">
        <f t="shared" si="19"/>
        <v>#REF!</v>
      </c>
      <c r="AJ64" s="354" t="e">
        <f t="shared" si="19"/>
        <v>#REF!</v>
      </c>
      <c r="AK64" s="354" t="e">
        <f t="shared" si="19"/>
        <v>#REF!</v>
      </c>
      <c r="AL64" s="354" t="e">
        <f t="shared" si="19"/>
        <v>#REF!</v>
      </c>
      <c r="AM64" s="354" t="e">
        <f t="shared" si="19"/>
        <v>#REF!</v>
      </c>
      <c r="AN64" s="355" t="e">
        <f t="shared" si="19"/>
        <v>#REF!</v>
      </c>
    </row>
    <row r="65" spans="1:40" s="315" customFormat="1" ht="12.75" customHeight="1" outlineLevel="1">
      <c r="A65" s="307">
        <v>10</v>
      </c>
      <c r="B65" s="308"/>
      <c r="C65" s="309" t="s">
        <v>108</v>
      </c>
      <c r="D65" s="309"/>
      <c r="E65" s="309"/>
      <c r="F65" s="309"/>
      <c r="G65" s="310">
        <f>'Zał.1_WPF_bazowy'!F58</f>
        <v>0</v>
      </c>
      <c r="H65" s="311">
        <f>'Zał.1_WPF_bazowy'!G58</f>
        <v>0</v>
      </c>
      <c r="I65" s="311">
        <f>'Zał.1_WPF_bazowy'!H58</f>
        <v>0</v>
      </c>
      <c r="J65" s="329">
        <f>'Zał.1_WPF_bazowy'!I58</f>
        <v>0</v>
      </c>
      <c r="K65" s="338">
        <f>+'Zał.1_WPF_bazowy'!J58</f>
        <v>0</v>
      </c>
      <c r="L65" s="339">
        <f>+'Zał.1_WPF_bazowy'!K58</f>
        <v>1300000</v>
      </c>
      <c r="M65" s="339">
        <f>+'Zał.1_WPF_bazowy'!L58</f>
        <v>1850000</v>
      </c>
      <c r="N65" s="339">
        <f>+'Zał.1_WPF_bazowy'!M58</f>
        <v>2000000</v>
      </c>
      <c r="O65" s="339">
        <f>+'Zał.1_WPF_bazowy'!N58</f>
        <v>2200000</v>
      </c>
      <c r="P65" s="339">
        <f>+'Zał.1_WPF_bazowy'!O58</f>
        <v>2100000</v>
      </c>
      <c r="Q65" s="339">
        <f>+'Zał.1_WPF_bazowy'!P58</f>
        <v>2000000</v>
      </c>
      <c r="R65" s="339">
        <f>+'Zał.1_WPF_bazowy'!Q58</f>
        <v>2000000</v>
      </c>
      <c r="S65" s="339">
        <f>+'Zał.1_WPF_bazowy'!R58</f>
        <v>1000000</v>
      </c>
      <c r="T65" s="339">
        <f>+'Zał.1_WPF_bazowy'!S58</f>
        <v>1023368.16</v>
      </c>
      <c r="U65" s="339" t="e">
        <f>+'Zał.1_WPF_bazowy'!#REF!</f>
        <v>#REF!</v>
      </c>
      <c r="V65" s="339" t="e">
        <f>+'Zał.1_WPF_bazowy'!#REF!</f>
        <v>#REF!</v>
      </c>
      <c r="W65" s="339" t="e">
        <f>+'Zał.1_WPF_bazowy'!#REF!</f>
        <v>#REF!</v>
      </c>
      <c r="X65" s="339" t="e">
        <f>+'Zał.1_WPF_bazowy'!#REF!</f>
        <v>#REF!</v>
      </c>
      <c r="Y65" s="339" t="e">
        <f>+'Zał.1_WPF_bazowy'!#REF!</f>
        <v>#REF!</v>
      </c>
      <c r="Z65" s="339" t="e">
        <f>+'Zał.1_WPF_bazowy'!#REF!</f>
        <v>#REF!</v>
      </c>
      <c r="AA65" s="339" t="e">
        <f>+'Zał.1_WPF_bazowy'!#REF!</f>
        <v>#REF!</v>
      </c>
      <c r="AB65" s="339" t="e">
        <f>+'Zał.1_WPF_bazowy'!#REF!</f>
        <v>#REF!</v>
      </c>
      <c r="AC65" s="339" t="e">
        <f>+'Zał.1_WPF_bazowy'!#REF!</f>
        <v>#REF!</v>
      </c>
      <c r="AD65" s="339" t="e">
        <f>+'Zał.1_WPF_bazowy'!#REF!</f>
        <v>#REF!</v>
      </c>
      <c r="AE65" s="339" t="e">
        <f>+'Zał.1_WPF_bazowy'!#REF!</f>
        <v>#REF!</v>
      </c>
      <c r="AF65" s="339" t="e">
        <f>+'Zał.1_WPF_bazowy'!#REF!</f>
        <v>#REF!</v>
      </c>
      <c r="AG65" s="339" t="e">
        <f>+'Zał.1_WPF_bazowy'!#REF!</f>
        <v>#REF!</v>
      </c>
      <c r="AH65" s="339" t="e">
        <f>+'Zał.1_WPF_bazowy'!#REF!</f>
        <v>#REF!</v>
      </c>
      <c r="AI65" s="339" t="e">
        <f>+'Zał.1_WPF_bazowy'!#REF!</f>
        <v>#REF!</v>
      </c>
      <c r="AJ65" s="339" t="e">
        <f>+'Zał.1_WPF_bazowy'!#REF!</f>
        <v>#REF!</v>
      </c>
      <c r="AK65" s="339" t="e">
        <f>+'Zał.1_WPF_bazowy'!#REF!</f>
        <v>#REF!</v>
      </c>
      <c r="AL65" s="339" t="e">
        <f>+'Zał.1_WPF_bazowy'!#REF!</f>
        <v>#REF!</v>
      </c>
      <c r="AM65" s="339" t="e">
        <f>+'Zał.1_WPF_bazowy'!#REF!</f>
        <v>#REF!</v>
      </c>
      <c r="AN65" s="340" t="e">
        <f>+'Zał.1_WPF_bazowy'!#REF!</f>
        <v>#REF!</v>
      </c>
    </row>
    <row r="66" spans="1:40" ht="14.25" customHeight="1" outlineLevel="2">
      <c r="A66" s="48" t="s">
        <v>109</v>
      </c>
      <c r="B66" s="316"/>
      <c r="C66" s="317"/>
      <c r="D66" s="316" t="s">
        <v>110</v>
      </c>
      <c r="E66" s="316"/>
      <c r="F66" s="316"/>
      <c r="G66" s="318">
        <f>'Zał.1_WPF_bazowy'!F59</f>
        <v>0</v>
      </c>
      <c r="H66" s="319">
        <f>'Zał.1_WPF_bazowy'!G59</f>
        <v>0</v>
      </c>
      <c r="I66" s="319">
        <f>'Zał.1_WPF_bazowy'!H59</f>
        <v>0</v>
      </c>
      <c r="J66" s="320">
        <f>'Zał.1_WPF_bazowy'!I59</f>
        <v>0</v>
      </c>
      <c r="K66" s="321">
        <f>+'Zał.1_WPF_bazowy'!J59</f>
        <v>0</v>
      </c>
      <c r="L66" s="322">
        <f>+'Zał.1_WPF_bazowy'!K59</f>
        <v>0</v>
      </c>
      <c r="M66" s="322">
        <f>+'Zał.1_WPF_bazowy'!L59</f>
        <v>0</v>
      </c>
      <c r="N66" s="322">
        <f>+'Zał.1_WPF_bazowy'!M59</f>
        <v>0</v>
      </c>
      <c r="O66" s="322">
        <f>+'Zał.1_WPF_bazowy'!N59</f>
        <v>0</v>
      </c>
      <c r="P66" s="322">
        <f>+'Zał.1_WPF_bazowy'!O59</f>
        <v>0</v>
      </c>
      <c r="Q66" s="322">
        <f>+'Zał.1_WPF_bazowy'!P59</f>
        <v>0</v>
      </c>
      <c r="R66" s="322">
        <f>+'Zał.1_WPF_bazowy'!Q59</f>
        <v>0</v>
      </c>
      <c r="S66" s="322">
        <f>+'Zał.1_WPF_bazowy'!R59</f>
        <v>0</v>
      </c>
      <c r="T66" s="322">
        <f>+'Zał.1_WPF_bazowy'!S59</f>
        <v>0</v>
      </c>
      <c r="U66" s="322" t="e">
        <f>+'Zał.1_WPF_bazowy'!#REF!</f>
        <v>#REF!</v>
      </c>
      <c r="V66" s="322" t="e">
        <f>+'Zał.1_WPF_bazowy'!#REF!</f>
        <v>#REF!</v>
      </c>
      <c r="W66" s="322" t="e">
        <f>+'Zał.1_WPF_bazowy'!#REF!</f>
        <v>#REF!</v>
      </c>
      <c r="X66" s="322" t="e">
        <f>+'Zał.1_WPF_bazowy'!#REF!</f>
        <v>#REF!</v>
      </c>
      <c r="Y66" s="322" t="e">
        <f>+'Zał.1_WPF_bazowy'!#REF!</f>
        <v>#REF!</v>
      </c>
      <c r="Z66" s="322" t="e">
        <f>+'Zał.1_WPF_bazowy'!#REF!</f>
        <v>#REF!</v>
      </c>
      <c r="AA66" s="322" t="e">
        <f>+'Zał.1_WPF_bazowy'!#REF!</f>
        <v>#REF!</v>
      </c>
      <c r="AB66" s="322" t="e">
        <f>+'Zał.1_WPF_bazowy'!#REF!</f>
        <v>#REF!</v>
      </c>
      <c r="AC66" s="322" t="e">
        <f>+'Zał.1_WPF_bazowy'!#REF!</f>
        <v>#REF!</v>
      </c>
      <c r="AD66" s="322" t="e">
        <f>+'Zał.1_WPF_bazowy'!#REF!</f>
        <v>#REF!</v>
      </c>
      <c r="AE66" s="322" t="e">
        <f>+'Zał.1_WPF_bazowy'!#REF!</f>
        <v>#REF!</v>
      </c>
      <c r="AF66" s="322" t="e">
        <f>+'Zał.1_WPF_bazowy'!#REF!</f>
        <v>#REF!</v>
      </c>
      <c r="AG66" s="322" t="e">
        <f>+'Zał.1_WPF_bazowy'!#REF!</f>
        <v>#REF!</v>
      </c>
      <c r="AH66" s="322" t="e">
        <f>+'Zał.1_WPF_bazowy'!#REF!</f>
        <v>#REF!</v>
      </c>
      <c r="AI66" s="322" t="e">
        <f>+'Zał.1_WPF_bazowy'!#REF!</f>
        <v>#REF!</v>
      </c>
      <c r="AJ66" s="322" t="e">
        <f>+'Zał.1_WPF_bazowy'!#REF!</f>
        <v>#REF!</v>
      </c>
      <c r="AK66" s="322" t="e">
        <f>+'Zał.1_WPF_bazowy'!#REF!</f>
        <v>#REF!</v>
      </c>
      <c r="AL66" s="322" t="e">
        <f>+'Zał.1_WPF_bazowy'!#REF!</f>
        <v>#REF!</v>
      </c>
      <c r="AM66" s="322" t="e">
        <f>+'Zał.1_WPF_bazowy'!#REF!</f>
        <v>#REF!</v>
      </c>
      <c r="AN66" s="323" t="e">
        <f>+'Zał.1_WPF_bazowy'!#REF!</f>
        <v>#REF!</v>
      </c>
    </row>
    <row r="67" spans="1:40" s="315" customFormat="1" ht="24" customHeight="1" outlineLevel="1">
      <c r="A67" s="307">
        <v>11</v>
      </c>
      <c r="B67" s="308"/>
      <c r="C67" s="309" t="s">
        <v>111</v>
      </c>
      <c r="D67" s="309"/>
      <c r="E67" s="309"/>
      <c r="F67" s="309"/>
      <c r="G67" s="341" t="s">
        <v>39</v>
      </c>
      <c r="H67" s="342" t="s">
        <v>39</v>
      </c>
      <c r="I67" s="342" t="s">
        <v>39</v>
      </c>
      <c r="J67" s="343" t="s">
        <v>39</v>
      </c>
      <c r="K67" s="344" t="s">
        <v>39</v>
      </c>
      <c r="L67" s="345" t="s">
        <v>39</v>
      </c>
      <c r="M67" s="345" t="s">
        <v>39</v>
      </c>
      <c r="N67" s="345" t="s">
        <v>39</v>
      </c>
      <c r="O67" s="345" t="s">
        <v>39</v>
      </c>
      <c r="P67" s="345" t="s">
        <v>39</v>
      </c>
      <c r="Q67" s="345" t="s">
        <v>39</v>
      </c>
      <c r="R67" s="345" t="s">
        <v>39</v>
      </c>
      <c r="S67" s="345" t="s">
        <v>39</v>
      </c>
      <c r="T67" s="345" t="s">
        <v>39</v>
      </c>
      <c r="U67" s="345" t="s">
        <v>39</v>
      </c>
      <c r="V67" s="345" t="s">
        <v>39</v>
      </c>
      <c r="W67" s="345" t="s">
        <v>39</v>
      </c>
      <c r="X67" s="345" t="s">
        <v>39</v>
      </c>
      <c r="Y67" s="345" t="s">
        <v>39</v>
      </c>
      <c r="Z67" s="345" t="s">
        <v>39</v>
      </c>
      <c r="AA67" s="345" t="s">
        <v>39</v>
      </c>
      <c r="AB67" s="345" t="s">
        <v>39</v>
      </c>
      <c r="AC67" s="345" t="s">
        <v>39</v>
      </c>
      <c r="AD67" s="345" t="s">
        <v>39</v>
      </c>
      <c r="AE67" s="345" t="s">
        <v>39</v>
      </c>
      <c r="AF67" s="345" t="s">
        <v>39</v>
      </c>
      <c r="AG67" s="345" t="s">
        <v>39</v>
      </c>
      <c r="AH67" s="345" t="s">
        <v>39</v>
      </c>
      <c r="AI67" s="345" t="s">
        <v>39</v>
      </c>
      <c r="AJ67" s="345" t="s">
        <v>39</v>
      </c>
      <c r="AK67" s="345" t="s">
        <v>39</v>
      </c>
      <c r="AL67" s="345" t="s">
        <v>39</v>
      </c>
      <c r="AM67" s="345" t="s">
        <v>39</v>
      </c>
      <c r="AN67" s="346" t="s">
        <v>39</v>
      </c>
    </row>
    <row r="68" spans="1:40" ht="14.25" customHeight="1" outlineLevel="2">
      <c r="A68" s="48" t="s">
        <v>112</v>
      </c>
      <c r="B68" s="316"/>
      <c r="C68" s="317"/>
      <c r="D68" s="316" t="s">
        <v>113</v>
      </c>
      <c r="E68" s="316"/>
      <c r="F68" s="316"/>
      <c r="G68" s="318">
        <f>'Zał.1_WPF_bazowy'!F61</f>
        <v>10915139.42</v>
      </c>
      <c r="H68" s="319">
        <f>'Zał.1_WPF_bazowy'!G61</f>
        <v>0</v>
      </c>
      <c r="I68" s="319">
        <f>'Zał.1_WPF_bazowy'!H61</f>
        <v>12203062</v>
      </c>
      <c r="J68" s="320">
        <f>'Zał.1_WPF_bazowy'!I61</f>
        <v>12006826.01</v>
      </c>
      <c r="K68" s="321">
        <f>+'Zał.1_WPF_bazowy'!J61</f>
        <v>12435739</v>
      </c>
      <c r="L68" s="322">
        <f>+'Zał.1_WPF_bazowy'!K61</f>
        <v>12400000</v>
      </c>
      <c r="M68" s="322">
        <f>+'Zał.1_WPF_bazowy'!L61</f>
        <v>12800000</v>
      </c>
      <c r="N68" s="322">
        <f>+'Zał.1_WPF_bazowy'!M61</f>
        <v>13000000</v>
      </c>
      <c r="O68" s="322">
        <f>+'Zał.1_WPF_bazowy'!N61</f>
        <v>13200000</v>
      </c>
      <c r="P68" s="322">
        <f>+'Zał.1_WPF_bazowy'!O61</f>
        <v>13400000</v>
      </c>
      <c r="Q68" s="322">
        <f>+'Zał.1_WPF_bazowy'!P61</f>
        <v>13600000</v>
      </c>
      <c r="R68" s="322">
        <f>+'Zał.1_WPF_bazowy'!Q61</f>
        <v>13800000</v>
      </c>
      <c r="S68" s="322">
        <f>+'Zał.1_WPF_bazowy'!R61</f>
        <v>14000000</v>
      </c>
      <c r="T68" s="322">
        <f>+'Zał.1_WPF_bazowy'!S61</f>
        <v>14251000</v>
      </c>
      <c r="U68" s="322" t="e">
        <f>+'Zał.1_WPF_bazowy'!#REF!</f>
        <v>#REF!</v>
      </c>
      <c r="V68" s="322" t="e">
        <f>+'Zał.1_WPF_bazowy'!#REF!</f>
        <v>#REF!</v>
      </c>
      <c r="W68" s="322" t="e">
        <f>+'Zał.1_WPF_bazowy'!#REF!</f>
        <v>#REF!</v>
      </c>
      <c r="X68" s="322" t="e">
        <f>+'Zał.1_WPF_bazowy'!#REF!</f>
        <v>#REF!</v>
      </c>
      <c r="Y68" s="322" t="e">
        <f>+'Zał.1_WPF_bazowy'!#REF!</f>
        <v>#REF!</v>
      </c>
      <c r="Z68" s="322" t="e">
        <f>+'Zał.1_WPF_bazowy'!#REF!</f>
        <v>#REF!</v>
      </c>
      <c r="AA68" s="322" t="e">
        <f>+'Zał.1_WPF_bazowy'!#REF!</f>
        <v>#REF!</v>
      </c>
      <c r="AB68" s="322" t="e">
        <f>+'Zał.1_WPF_bazowy'!#REF!</f>
        <v>#REF!</v>
      </c>
      <c r="AC68" s="322" t="e">
        <f>+'Zał.1_WPF_bazowy'!#REF!</f>
        <v>#REF!</v>
      </c>
      <c r="AD68" s="322" t="e">
        <f>+'Zał.1_WPF_bazowy'!#REF!</f>
        <v>#REF!</v>
      </c>
      <c r="AE68" s="322" t="e">
        <f>+'Zał.1_WPF_bazowy'!#REF!</f>
        <v>#REF!</v>
      </c>
      <c r="AF68" s="322" t="e">
        <f>+'Zał.1_WPF_bazowy'!#REF!</f>
        <v>#REF!</v>
      </c>
      <c r="AG68" s="322" t="e">
        <f>+'Zał.1_WPF_bazowy'!#REF!</f>
        <v>#REF!</v>
      </c>
      <c r="AH68" s="322" t="e">
        <f>+'Zał.1_WPF_bazowy'!#REF!</f>
        <v>#REF!</v>
      </c>
      <c r="AI68" s="322" t="e">
        <f>+'Zał.1_WPF_bazowy'!#REF!</f>
        <v>#REF!</v>
      </c>
      <c r="AJ68" s="322" t="e">
        <f>+'Zał.1_WPF_bazowy'!#REF!</f>
        <v>#REF!</v>
      </c>
      <c r="AK68" s="322" t="e">
        <f>+'Zał.1_WPF_bazowy'!#REF!</f>
        <v>#REF!</v>
      </c>
      <c r="AL68" s="322" t="e">
        <f>+'Zał.1_WPF_bazowy'!#REF!</f>
        <v>#REF!</v>
      </c>
      <c r="AM68" s="322" t="e">
        <f>+'Zał.1_WPF_bazowy'!#REF!</f>
        <v>#REF!</v>
      </c>
      <c r="AN68" s="323" t="e">
        <f>+'Zał.1_WPF_bazowy'!#REF!</f>
        <v>#REF!</v>
      </c>
    </row>
    <row r="69" spans="1:40" ht="24" customHeight="1" outlineLevel="2">
      <c r="A69" s="48" t="s">
        <v>114</v>
      </c>
      <c r="B69" s="316"/>
      <c r="C69" s="317"/>
      <c r="D69" s="316" t="s">
        <v>115</v>
      </c>
      <c r="E69" s="316"/>
      <c r="F69" s="316"/>
      <c r="G69" s="318">
        <f>'Zał.1_WPF_bazowy'!F62</f>
        <v>0</v>
      </c>
      <c r="H69" s="319">
        <f>'Zał.1_WPF_bazowy'!G62</f>
        <v>0</v>
      </c>
      <c r="I69" s="319">
        <f>'Zał.1_WPF_bazowy'!H62</f>
        <v>0</v>
      </c>
      <c r="J69" s="320">
        <f>'Zał.1_WPF_bazowy'!I62</f>
        <v>0</v>
      </c>
      <c r="K69" s="321">
        <f>+'Zał.1_WPF_bazowy'!J62</f>
        <v>14011836.16</v>
      </c>
      <c r="L69" s="322">
        <f>+'Zał.1_WPF_bazowy'!K62</f>
        <v>0</v>
      </c>
      <c r="M69" s="322">
        <f>+'Zał.1_WPF_bazowy'!L62</f>
        <v>0</v>
      </c>
      <c r="N69" s="322">
        <f>+'Zał.1_WPF_bazowy'!M62</f>
        <v>0</v>
      </c>
      <c r="O69" s="322">
        <f>+'Zał.1_WPF_bazowy'!N62</f>
        <v>0</v>
      </c>
      <c r="P69" s="322">
        <f>+'Zał.1_WPF_bazowy'!O62</f>
        <v>0</v>
      </c>
      <c r="Q69" s="322">
        <f>+'Zał.1_WPF_bazowy'!P62</f>
        <v>0</v>
      </c>
      <c r="R69" s="322">
        <f>+'Zał.1_WPF_bazowy'!Q62</f>
        <v>0</v>
      </c>
      <c r="S69" s="322">
        <f>+'Zał.1_WPF_bazowy'!R62</f>
        <v>0</v>
      </c>
      <c r="T69" s="322">
        <f>+'Zał.1_WPF_bazowy'!S62</f>
        <v>0</v>
      </c>
      <c r="U69" s="322" t="e">
        <f>+'Zał.1_WPF_bazowy'!#REF!</f>
        <v>#REF!</v>
      </c>
      <c r="V69" s="322" t="e">
        <f>+'Zał.1_WPF_bazowy'!#REF!</f>
        <v>#REF!</v>
      </c>
      <c r="W69" s="322" t="e">
        <f>+'Zał.1_WPF_bazowy'!#REF!</f>
        <v>#REF!</v>
      </c>
      <c r="X69" s="322" t="e">
        <f>+'Zał.1_WPF_bazowy'!#REF!</f>
        <v>#REF!</v>
      </c>
      <c r="Y69" s="322" t="e">
        <f>+'Zał.1_WPF_bazowy'!#REF!</f>
        <v>#REF!</v>
      </c>
      <c r="Z69" s="322" t="e">
        <f>+'Zał.1_WPF_bazowy'!#REF!</f>
        <v>#REF!</v>
      </c>
      <c r="AA69" s="322" t="e">
        <f>+'Zał.1_WPF_bazowy'!#REF!</f>
        <v>#REF!</v>
      </c>
      <c r="AB69" s="322" t="e">
        <f>+'Zał.1_WPF_bazowy'!#REF!</f>
        <v>#REF!</v>
      </c>
      <c r="AC69" s="322" t="e">
        <f>+'Zał.1_WPF_bazowy'!#REF!</f>
        <v>#REF!</v>
      </c>
      <c r="AD69" s="322" t="e">
        <f>+'Zał.1_WPF_bazowy'!#REF!</f>
        <v>#REF!</v>
      </c>
      <c r="AE69" s="322" t="e">
        <f>+'Zał.1_WPF_bazowy'!#REF!</f>
        <v>#REF!</v>
      </c>
      <c r="AF69" s="322" t="e">
        <f>+'Zał.1_WPF_bazowy'!#REF!</f>
        <v>#REF!</v>
      </c>
      <c r="AG69" s="322" t="e">
        <f>+'Zał.1_WPF_bazowy'!#REF!</f>
        <v>#REF!</v>
      </c>
      <c r="AH69" s="322" t="e">
        <f>+'Zał.1_WPF_bazowy'!#REF!</f>
        <v>#REF!</v>
      </c>
      <c r="AI69" s="322" t="e">
        <f>+'Zał.1_WPF_bazowy'!#REF!</f>
        <v>#REF!</v>
      </c>
      <c r="AJ69" s="322" t="e">
        <f>+'Zał.1_WPF_bazowy'!#REF!</f>
        <v>#REF!</v>
      </c>
      <c r="AK69" s="322" t="e">
        <f>+'Zał.1_WPF_bazowy'!#REF!</f>
        <v>#REF!</v>
      </c>
      <c r="AL69" s="322" t="e">
        <f>+'Zał.1_WPF_bazowy'!#REF!</f>
        <v>#REF!</v>
      </c>
      <c r="AM69" s="322" t="e">
        <f>+'Zał.1_WPF_bazowy'!#REF!</f>
        <v>#REF!</v>
      </c>
      <c r="AN69" s="323" t="e">
        <f>+'Zał.1_WPF_bazowy'!#REF!</f>
        <v>#REF!</v>
      </c>
    </row>
    <row r="70" spans="1:40" ht="14.25" customHeight="1" outlineLevel="2">
      <c r="A70" s="48" t="s">
        <v>116</v>
      </c>
      <c r="B70" s="316" t="s">
        <v>377</v>
      </c>
      <c r="C70" s="317"/>
      <c r="D70" s="316" t="s">
        <v>117</v>
      </c>
      <c r="E70" s="316"/>
      <c r="F70" s="316"/>
      <c r="G70" s="318">
        <f>'Zał.1_WPF_bazowy'!F63</f>
        <v>0</v>
      </c>
      <c r="H70" s="319">
        <f>'Zał.1_WPF_bazowy'!G63</f>
        <v>0</v>
      </c>
      <c r="I70" s="319">
        <f>'Zał.1_WPF_bazowy'!H63</f>
        <v>1841325</v>
      </c>
      <c r="J70" s="347">
        <f>+J71+J72</f>
        <v>0</v>
      </c>
      <c r="K70" s="348">
        <f>+K71+K72</f>
        <v>2856092.26</v>
      </c>
      <c r="L70" s="349">
        <f aca="true" t="shared" si="20" ref="L70:AN70">+L71+L72</f>
        <v>1177610.38</v>
      </c>
      <c r="M70" s="349">
        <f t="shared" si="20"/>
        <v>179052.82</v>
      </c>
      <c r="N70" s="349">
        <f t="shared" si="20"/>
        <v>56</v>
      </c>
      <c r="O70" s="349">
        <f t="shared" si="20"/>
        <v>56</v>
      </c>
      <c r="P70" s="349">
        <f t="shared" si="20"/>
        <v>56</v>
      </c>
      <c r="Q70" s="349">
        <f t="shared" si="20"/>
        <v>56</v>
      </c>
      <c r="R70" s="349">
        <f t="shared" si="20"/>
        <v>20</v>
      </c>
      <c r="S70" s="349">
        <f t="shared" si="20"/>
        <v>0</v>
      </c>
      <c r="T70" s="349">
        <f t="shared" si="20"/>
        <v>0</v>
      </c>
      <c r="U70" s="349" t="e">
        <f t="shared" si="20"/>
        <v>#REF!</v>
      </c>
      <c r="V70" s="349" t="e">
        <f t="shared" si="20"/>
        <v>#REF!</v>
      </c>
      <c r="W70" s="349" t="e">
        <f t="shared" si="20"/>
        <v>#REF!</v>
      </c>
      <c r="X70" s="349" t="e">
        <f t="shared" si="20"/>
        <v>#REF!</v>
      </c>
      <c r="Y70" s="349" t="e">
        <f t="shared" si="20"/>
        <v>#REF!</v>
      </c>
      <c r="Z70" s="349" t="e">
        <f t="shared" si="20"/>
        <v>#REF!</v>
      </c>
      <c r="AA70" s="349" t="e">
        <f t="shared" si="20"/>
        <v>#REF!</v>
      </c>
      <c r="AB70" s="349" t="e">
        <f t="shared" si="20"/>
        <v>#REF!</v>
      </c>
      <c r="AC70" s="349" t="e">
        <f t="shared" si="20"/>
        <v>#REF!</v>
      </c>
      <c r="AD70" s="349" t="e">
        <f t="shared" si="20"/>
        <v>#REF!</v>
      </c>
      <c r="AE70" s="349" t="e">
        <f t="shared" si="20"/>
        <v>#REF!</v>
      </c>
      <c r="AF70" s="349" t="e">
        <f t="shared" si="20"/>
        <v>#REF!</v>
      </c>
      <c r="AG70" s="349" t="e">
        <f t="shared" si="20"/>
        <v>#REF!</v>
      </c>
      <c r="AH70" s="349" t="e">
        <f t="shared" si="20"/>
        <v>#REF!</v>
      </c>
      <c r="AI70" s="349" t="e">
        <f t="shared" si="20"/>
        <v>#REF!</v>
      </c>
      <c r="AJ70" s="349" t="e">
        <f t="shared" si="20"/>
        <v>#REF!</v>
      </c>
      <c r="AK70" s="349" t="e">
        <f t="shared" si="20"/>
        <v>#REF!</v>
      </c>
      <c r="AL70" s="349" t="e">
        <f t="shared" si="20"/>
        <v>#REF!</v>
      </c>
      <c r="AM70" s="349" t="e">
        <f t="shared" si="20"/>
        <v>#REF!</v>
      </c>
      <c r="AN70" s="347" t="e">
        <f t="shared" si="20"/>
        <v>#REF!</v>
      </c>
    </row>
    <row r="71" spans="1:40" ht="14.25" customHeight="1" outlineLevel="2">
      <c r="A71" s="48" t="s">
        <v>118</v>
      </c>
      <c r="B71" s="316"/>
      <c r="C71" s="317"/>
      <c r="D71" s="324"/>
      <c r="E71" s="316" t="s">
        <v>119</v>
      </c>
      <c r="F71" s="316"/>
      <c r="G71" s="318">
        <f>'Zał.1_WPF_bazowy'!F64</f>
        <v>0</v>
      </c>
      <c r="H71" s="319">
        <f>'Zał.1_WPF_bazowy'!G64</f>
        <v>0</v>
      </c>
      <c r="I71" s="319">
        <f>'Zał.1_WPF_bazowy'!H64</f>
        <v>994525</v>
      </c>
      <c r="J71" s="320">
        <f>'Zał.1_WPF_bazowy'!I64</f>
        <v>0</v>
      </c>
      <c r="K71" s="321">
        <f>+'Zał.1_WPF_bazowy'!J64</f>
        <v>1008437.56</v>
      </c>
      <c r="L71" s="322">
        <f>+'Zał.1_WPF_bazowy'!K64</f>
        <v>554030.08</v>
      </c>
      <c r="M71" s="322">
        <f>+'Zał.1_WPF_bazowy'!L64</f>
        <v>179052.82</v>
      </c>
      <c r="N71" s="322">
        <f>+'Zał.1_WPF_bazowy'!M64</f>
        <v>56</v>
      </c>
      <c r="O71" s="322">
        <f>+'Zał.1_WPF_bazowy'!N64</f>
        <v>56</v>
      </c>
      <c r="P71" s="322">
        <f>+'Zał.1_WPF_bazowy'!O64</f>
        <v>56</v>
      </c>
      <c r="Q71" s="322">
        <f>+'Zał.1_WPF_bazowy'!P64</f>
        <v>56</v>
      </c>
      <c r="R71" s="322">
        <f>+'Zał.1_WPF_bazowy'!Q64</f>
        <v>20</v>
      </c>
      <c r="S71" s="322">
        <f>+'Zał.1_WPF_bazowy'!R64</f>
        <v>0</v>
      </c>
      <c r="T71" s="322">
        <f>+'Zał.1_WPF_bazowy'!S64</f>
        <v>0</v>
      </c>
      <c r="U71" s="322" t="e">
        <f>+'Zał.1_WPF_bazowy'!#REF!</f>
        <v>#REF!</v>
      </c>
      <c r="V71" s="322" t="e">
        <f>+'Zał.1_WPF_bazowy'!#REF!</f>
        <v>#REF!</v>
      </c>
      <c r="W71" s="322" t="e">
        <f>+'Zał.1_WPF_bazowy'!#REF!</f>
        <v>#REF!</v>
      </c>
      <c r="X71" s="322" t="e">
        <f>+'Zał.1_WPF_bazowy'!#REF!</f>
        <v>#REF!</v>
      </c>
      <c r="Y71" s="322" t="e">
        <f>+'Zał.1_WPF_bazowy'!#REF!</f>
        <v>#REF!</v>
      </c>
      <c r="Z71" s="322" t="e">
        <f>+'Zał.1_WPF_bazowy'!#REF!</f>
        <v>#REF!</v>
      </c>
      <c r="AA71" s="322" t="e">
        <f>+'Zał.1_WPF_bazowy'!#REF!</f>
        <v>#REF!</v>
      </c>
      <c r="AB71" s="322" t="e">
        <f>+'Zał.1_WPF_bazowy'!#REF!</f>
        <v>#REF!</v>
      </c>
      <c r="AC71" s="322" t="e">
        <f>+'Zał.1_WPF_bazowy'!#REF!</f>
        <v>#REF!</v>
      </c>
      <c r="AD71" s="322" t="e">
        <f>+'Zał.1_WPF_bazowy'!#REF!</f>
        <v>#REF!</v>
      </c>
      <c r="AE71" s="322" t="e">
        <f>+'Zał.1_WPF_bazowy'!#REF!</f>
        <v>#REF!</v>
      </c>
      <c r="AF71" s="322" t="e">
        <f>+'Zał.1_WPF_bazowy'!#REF!</f>
        <v>#REF!</v>
      </c>
      <c r="AG71" s="322" t="e">
        <f>+'Zał.1_WPF_bazowy'!#REF!</f>
        <v>#REF!</v>
      </c>
      <c r="AH71" s="322" t="e">
        <f>+'Zał.1_WPF_bazowy'!#REF!</f>
        <v>#REF!</v>
      </c>
      <c r="AI71" s="322" t="e">
        <f>+'Zał.1_WPF_bazowy'!#REF!</f>
        <v>#REF!</v>
      </c>
      <c r="AJ71" s="322" t="e">
        <f>+'Zał.1_WPF_bazowy'!#REF!</f>
        <v>#REF!</v>
      </c>
      <c r="AK71" s="322" t="e">
        <f>+'Zał.1_WPF_bazowy'!#REF!</f>
        <v>#REF!</v>
      </c>
      <c r="AL71" s="322" t="e">
        <f>+'Zał.1_WPF_bazowy'!#REF!</f>
        <v>#REF!</v>
      </c>
      <c r="AM71" s="322" t="e">
        <f>+'Zał.1_WPF_bazowy'!#REF!</f>
        <v>#REF!</v>
      </c>
      <c r="AN71" s="323" t="e">
        <f>+'Zał.1_WPF_bazowy'!#REF!</f>
        <v>#REF!</v>
      </c>
    </row>
    <row r="72" spans="1:40" ht="14.25" customHeight="1" outlineLevel="2">
      <c r="A72" s="48" t="s">
        <v>120</v>
      </c>
      <c r="B72" s="316"/>
      <c r="C72" s="317"/>
      <c r="D72" s="324"/>
      <c r="E72" s="316" t="s">
        <v>121</v>
      </c>
      <c r="F72" s="316"/>
      <c r="G72" s="318">
        <f>'Zał.1_WPF_bazowy'!F65</f>
        <v>0</v>
      </c>
      <c r="H72" s="319">
        <f>'Zał.1_WPF_bazowy'!G65</f>
        <v>0</v>
      </c>
      <c r="I72" s="319">
        <f>'Zał.1_WPF_bazowy'!H65</f>
        <v>846800</v>
      </c>
      <c r="J72" s="320">
        <f>'Zał.1_WPF_bazowy'!I65</f>
        <v>0</v>
      </c>
      <c r="K72" s="321">
        <f>+'Zał.1_WPF_bazowy'!J65</f>
        <v>1847654.7</v>
      </c>
      <c r="L72" s="322">
        <f>+'Zał.1_WPF_bazowy'!K65</f>
        <v>623580.3</v>
      </c>
      <c r="M72" s="322">
        <f>+'Zał.1_WPF_bazowy'!L65</f>
        <v>0</v>
      </c>
      <c r="N72" s="322">
        <f>+'Zał.1_WPF_bazowy'!M65</f>
        <v>0</v>
      </c>
      <c r="O72" s="322">
        <f>+'Zał.1_WPF_bazowy'!N65</f>
        <v>0</v>
      </c>
      <c r="P72" s="322">
        <f>+'Zał.1_WPF_bazowy'!O65</f>
        <v>0</v>
      </c>
      <c r="Q72" s="322">
        <f>+'Zał.1_WPF_bazowy'!P65</f>
        <v>0</v>
      </c>
      <c r="R72" s="322">
        <f>+'Zał.1_WPF_bazowy'!Q65</f>
        <v>0</v>
      </c>
      <c r="S72" s="322">
        <f>+'Zał.1_WPF_bazowy'!R65</f>
        <v>0</v>
      </c>
      <c r="T72" s="322">
        <f>+'Zał.1_WPF_bazowy'!S65</f>
        <v>0</v>
      </c>
      <c r="U72" s="322" t="e">
        <f>+'Zał.1_WPF_bazowy'!#REF!</f>
        <v>#REF!</v>
      </c>
      <c r="V72" s="322" t="e">
        <f>+'Zał.1_WPF_bazowy'!#REF!</f>
        <v>#REF!</v>
      </c>
      <c r="W72" s="322" t="e">
        <f>+'Zał.1_WPF_bazowy'!#REF!</f>
        <v>#REF!</v>
      </c>
      <c r="X72" s="322" t="e">
        <f>+'Zał.1_WPF_bazowy'!#REF!</f>
        <v>#REF!</v>
      </c>
      <c r="Y72" s="322" t="e">
        <f>+'Zał.1_WPF_bazowy'!#REF!</f>
        <v>#REF!</v>
      </c>
      <c r="Z72" s="322" t="e">
        <f>+'Zał.1_WPF_bazowy'!#REF!</f>
        <v>#REF!</v>
      </c>
      <c r="AA72" s="322" t="e">
        <f>+'Zał.1_WPF_bazowy'!#REF!</f>
        <v>#REF!</v>
      </c>
      <c r="AB72" s="322" t="e">
        <f>+'Zał.1_WPF_bazowy'!#REF!</f>
        <v>#REF!</v>
      </c>
      <c r="AC72" s="322" t="e">
        <f>+'Zał.1_WPF_bazowy'!#REF!</f>
        <v>#REF!</v>
      </c>
      <c r="AD72" s="322" t="e">
        <f>+'Zał.1_WPF_bazowy'!#REF!</f>
        <v>#REF!</v>
      </c>
      <c r="AE72" s="322" t="e">
        <f>+'Zał.1_WPF_bazowy'!#REF!</f>
        <v>#REF!</v>
      </c>
      <c r="AF72" s="322" t="e">
        <f>+'Zał.1_WPF_bazowy'!#REF!</f>
        <v>#REF!</v>
      </c>
      <c r="AG72" s="322" t="e">
        <f>+'Zał.1_WPF_bazowy'!#REF!</f>
        <v>#REF!</v>
      </c>
      <c r="AH72" s="322" t="e">
        <f>+'Zał.1_WPF_bazowy'!#REF!</f>
        <v>#REF!</v>
      </c>
      <c r="AI72" s="322" t="e">
        <f>+'Zał.1_WPF_bazowy'!#REF!</f>
        <v>#REF!</v>
      </c>
      <c r="AJ72" s="322" t="e">
        <f>+'Zał.1_WPF_bazowy'!#REF!</f>
        <v>#REF!</v>
      </c>
      <c r="AK72" s="322" t="e">
        <f>+'Zał.1_WPF_bazowy'!#REF!</f>
        <v>#REF!</v>
      </c>
      <c r="AL72" s="322" t="e">
        <f>+'Zał.1_WPF_bazowy'!#REF!</f>
        <v>#REF!</v>
      </c>
      <c r="AM72" s="322" t="e">
        <f>+'Zał.1_WPF_bazowy'!#REF!</f>
        <v>#REF!</v>
      </c>
      <c r="AN72" s="323" t="e">
        <f>+'Zał.1_WPF_bazowy'!#REF!</f>
        <v>#REF!</v>
      </c>
    </row>
    <row r="73" spans="1:40" ht="14.25" customHeight="1" outlineLevel="2">
      <c r="A73" s="48" t="s">
        <v>122</v>
      </c>
      <c r="B73" s="316"/>
      <c r="C73" s="317"/>
      <c r="D73" s="316" t="s">
        <v>123</v>
      </c>
      <c r="E73" s="316"/>
      <c r="F73" s="316"/>
      <c r="G73" s="318">
        <f>'Zał.1_WPF_bazowy'!F66</f>
        <v>0</v>
      </c>
      <c r="H73" s="319">
        <f>'Zał.1_WPF_bazowy'!G66</f>
        <v>0</v>
      </c>
      <c r="I73" s="319">
        <f>'Zał.1_WPF_bazowy'!H66</f>
        <v>0</v>
      </c>
      <c r="J73" s="320">
        <f>'Zał.1_WPF_bazowy'!I66</f>
        <v>0</v>
      </c>
      <c r="K73" s="321">
        <f>+'Zał.1_WPF_bazowy'!J66</f>
        <v>4472632.58</v>
      </c>
      <c r="L73" s="322">
        <f>+'Zał.1_WPF_bazowy'!K66</f>
        <v>0</v>
      </c>
      <c r="M73" s="322">
        <f>+'Zał.1_WPF_bazowy'!L66</f>
        <v>0</v>
      </c>
      <c r="N73" s="322">
        <f>+'Zał.1_WPF_bazowy'!M66</f>
        <v>0</v>
      </c>
      <c r="O73" s="322">
        <f>+'Zał.1_WPF_bazowy'!N66</f>
        <v>0</v>
      </c>
      <c r="P73" s="322">
        <f>+'Zał.1_WPF_bazowy'!O66</f>
        <v>0</v>
      </c>
      <c r="Q73" s="322">
        <f>+'Zał.1_WPF_bazowy'!P66</f>
        <v>0</v>
      </c>
      <c r="R73" s="322">
        <f>+'Zał.1_WPF_bazowy'!Q66</f>
        <v>0</v>
      </c>
      <c r="S73" s="322">
        <f>+'Zał.1_WPF_bazowy'!R66</f>
        <v>0</v>
      </c>
      <c r="T73" s="322">
        <f>+'Zał.1_WPF_bazowy'!S66</f>
        <v>0</v>
      </c>
      <c r="U73" s="322" t="e">
        <f>+'Zał.1_WPF_bazowy'!#REF!</f>
        <v>#REF!</v>
      </c>
      <c r="V73" s="322" t="e">
        <f>+'Zał.1_WPF_bazowy'!#REF!</f>
        <v>#REF!</v>
      </c>
      <c r="W73" s="322" t="e">
        <f>+'Zał.1_WPF_bazowy'!#REF!</f>
        <v>#REF!</v>
      </c>
      <c r="X73" s="322" t="e">
        <f>+'Zał.1_WPF_bazowy'!#REF!</f>
        <v>#REF!</v>
      </c>
      <c r="Y73" s="322" t="e">
        <f>+'Zał.1_WPF_bazowy'!#REF!</f>
        <v>#REF!</v>
      </c>
      <c r="Z73" s="322" t="e">
        <f>+'Zał.1_WPF_bazowy'!#REF!</f>
        <v>#REF!</v>
      </c>
      <c r="AA73" s="322" t="e">
        <f>+'Zał.1_WPF_bazowy'!#REF!</f>
        <v>#REF!</v>
      </c>
      <c r="AB73" s="322" t="e">
        <f>+'Zał.1_WPF_bazowy'!#REF!</f>
        <v>#REF!</v>
      </c>
      <c r="AC73" s="322" t="e">
        <f>+'Zał.1_WPF_bazowy'!#REF!</f>
        <v>#REF!</v>
      </c>
      <c r="AD73" s="322" t="e">
        <f>+'Zał.1_WPF_bazowy'!#REF!</f>
        <v>#REF!</v>
      </c>
      <c r="AE73" s="322" t="e">
        <f>+'Zał.1_WPF_bazowy'!#REF!</f>
        <v>#REF!</v>
      </c>
      <c r="AF73" s="322" t="e">
        <f>+'Zał.1_WPF_bazowy'!#REF!</f>
        <v>#REF!</v>
      </c>
      <c r="AG73" s="322" t="e">
        <f>+'Zał.1_WPF_bazowy'!#REF!</f>
        <v>#REF!</v>
      </c>
      <c r="AH73" s="322" t="e">
        <f>+'Zał.1_WPF_bazowy'!#REF!</f>
        <v>#REF!</v>
      </c>
      <c r="AI73" s="322" t="e">
        <f>+'Zał.1_WPF_bazowy'!#REF!</f>
        <v>#REF!</v>
      </c>
      <c r="AJ73" s="322" t="e">
        <f>+'Zał.1_WPF_bazowy'!#REF!</f>
        <v>#REF!</v>
      </c>
      <c r="AK73" s="322" t="e">
        <f>+'Zał.1_WPF_bazowy'!#REF!</f>
        <v>#REF!</v>
      </c>
      <c r="AL73" s="322" t="e">
        <f>+'Zał.1_WPF_bazowy'!#REF!</f>
        <v>#REF!</v>
      </c>
      <c r="AM73" s="322" t="e">
        <f>+'Zał.1_WPF_bazowy'!#REF!</f>
        <v>#REF!</v>
      </c>
      <c r="AN73" s="323" t="e">
        <f>+'Zał.1_WPF_bazowy'!#REF!</f>
        <v>#REF!</v>
      </c>
    </row>
    <row r="74" spans="1:40" ht="14.25" customHeight="1" outlineLevel="2">
      <c r="A74" s="48" t="s">
        <v>124</v>
      </c>
      <c r="B74" s="316"/>
      <c r="C74" s="317"/>
      <c r="D74" s="316" t="s">
        <v>125</v>
      </c>
      <c r="E74" s="316"/>
      <c r="F74" s="316"/>
      <c r="G74" s="318">
        <f>'Zał.1_WPF_bazowy'!F67</f>
        <v>0</v>
      </c>
      <c r="H74" s="319">
        <f>'Zał.1_WPF_bazowy'!G67</f>
        <v>0</v>
      </c>
      <c r="I74" s="319">
        <f>'Zał.1_WPF_bazowy'!H67</f>
        <v>0</v>
      </c>
      <c r="J74" s="320">
        <f>'Zał.1_WPF_bazowy'!I67</f>
        <v>0</v>
      </c>
      <c r="K74" s="321">
        <f>+'Zał.1_WPF_bazowy'!J67</f>
        <v>2390654.7</v>
      </c>
      <c r="L74" s="322">
        <f>+'Zał.1_WPF_bazowy'!K67</f>
        <v>0</v>
      </c>
      <c r="M74" s="322">
        <f>+'Zał.1_WPF_bazowy'!L67</f>
        <v>0</v>
      </c>
      <c r="N74" s="322">
        <f>+'Zał.1_WPF_bazowy'!M67</f>
        <v>0</v>
      </c>
      <c r="O74" s="322">
        <f>+'Zał.1_WPF_bazowy'!N67</f>
        <v>0</v>
      </c>
      <c r="P74" s="322">
        <f>+'Zał.1_WPF_bazowy'!O67</f>
        <v>0</v>
      </c>
      <c r="Q74" s="322">
        <f>+'Zał.1_WPF_bazowy'!P67</f>
        <v>0</v>
      </c>
      <c r="R74" s="322">
        <f>+'Zał.1_WPF_bazowy'!Q67</f>
        <v>0</v>
      </c>
      <c r="S74" s="322">
        <f>+'Zał.1_WPF_bazowy'!R67</f>
        <v>0</v>
      </c>
      <c r="T74" s="322">
        <f>+'Zał.1_WPF_bazowy'!S67</f>
        <v>0</v>
      </c>
      <c r="U74" s="322" t="e">
        <f>+'Zał.1_WPF_bazowy'!#REF!</f>
        <v>#REF!</v>
      </c>
      <c r="V74" s="322" t="e">
        <f>+'Zał.1_WPF_bazowy'!#REF!</f>
        <v>#REF!</v>
      </c>
      <c r="W74" s="322" t="e">
        <f>+'Zał.1_WPF_bazowy'!#REF!</f>
        <v>#REF!</v>
      </c>
      <c r="X74" s="322" t="e">
        <f>+'Zał.1_WPF_bazowy'!#REF!</f>
        <v>#REF!</v>
      </c>
      <c r="Y74" s="322" t="e">
        <f>+'Zał.1_WPF_bazowy'!#REF!</f>
        <v>#REF!</v>
      </c>
      <c r="Z74" s="322" t="e">
        <f>+'Zał.1_WPF_bazowy'!#REF!</f>
        <v>#REF!</v>
      </c>
      <c r="AA74" s="322" t="e">
        <f>+'Zał.1_WPF_bazowy'!#REF!</f>
        <v>#REF!</v>
      </c>
      <c r="AB74" s="322" t="e">
        <f>+'Zał.1_WPF_bazowy'!#REF!</f>
        <v>#REF!</v>
      </c>
      <c r="AC74" s="322" t="e">
        <f>+'Zał.1_WPF_bazowy'!#REF!</f>
        <v>#REF!</v>
      </c>
      <c r="AD74" s="322" t="e">
        <f>+'Zał.1_WPF_bazowy'!#REF!</f>
        <v>#REF!</v>
      </c>
      <c r="AE74" s="322" t="e">
        <f>+'Zał.1_WPF_bazowy'!#REF!</f>
        <v>#REF!</v>
      </c>
      <c r="AF74" s="322" t="e">
        <f>+'Zał.1_WPF_bazowy'!#REF!</f>
        <v>#REF!</v>
      </c>
      <c r="AG74" s="322" t="e">
        <f>+'Zał.1_WPF_bazowy'!#REF!</f>
        <v>#REF!</v>
      </c>
      <c r="AH74" s="322" t="e">
        <f>+'Zał.1_WPF_bazowy'!#REF!</f>
        <v>#REF!</v>
      </c>
      <c r="AI74" s="322" t="e">
        <f>+'Zał.1_WPF_bazowy'!#REF!</f>
        <v>#REF!</v>
      </c>
      <c r="AJ74" s="322" t="e">
        <f>+'Zał.1_WPF_bazowy'!#REF!</f>
        <v>#REF!</v>
      </c>
      <c r="AK74" s="322" t="e">
        <f>+'Zał.1_WPF_bazowy'!#REF!</f>
        <v>#REF!</v>
      </c>
      <c r="AL74" s="322" t="e">
        <f>+'Zał.1_WPF_bazowy'!#REF!</f>
        <v>#REF!</v>
      </c>
      <c r="AM74" s="322" t="e">
        <f>+'Zał.1_WPF_bazowy'!#REF!</f>
        <v>#REF!</v>
      </c>
      <c r="AN74" s="323" t="e">
        <f>+'Zał.1_WPF_bazowy'!#REF!</f>
        <v>#REF!</v>
      </c>
    </row>
    <row r="75" spans="1:40" ht="14.25" customHeight="1" outlineLevel="2">
      <c r="A75" s="48" t="s">
        <v>126</v>
      </c>
      <c r="B75" s="316"/>
      <c r="C75" s="317"/>
      <c r="D75" s="316" t="s">
        <v>127</v>
      </c>
      <c r="E75" s="316"/>
      <c r="F75" s="316"/>
      <c r="G75" s="318">
        <f>'Zał.1_WPF_bazowy'!F68</f>
        <v>0</v>
      </c>
      <c r="H75" s="319">
        <f>'Zał.1_WPF_bazowy'!G68</f>
        <v>0</v>
      </c>
      <c r="I75" s="319">
        <f>'Zał.1_WPF_bazowy'!H68</f>
        <v>0</v>
      </c>
      <c r="J75" s="320">
        <f>'Zał.1_WPF_bazowy'!I68</f>
        <v>0</v>
      </c>
      <c r="K75" s="321">
        <f>+'Zał.1_WPF_bazowy'!J68</f>
        <v>250000</v>
      </c>
      <c r="L75" s="322">
        <f>+'Zał.1_WPF_bazowy'!K68</f>
        <v>0</v>
      </c>
      <c r="M75" s="322">
        <f>+'Zał.1_WPF_bazowy'!L68</f>
        <v>0</v>
      </c>
      <c r="N75" s="322">
        <f>+'Zał.1_WPF_bazowy'!M68</f>
        <v>0</v>
      </c>
      <c r="O75" s="322">
        <f>+'Zał.1_WPF_bazowy'!N68</f>
        <v>0</v>
      </c>
      <c r="P75" s="322">
        <f>+'Zał.1_WPF_bazowy'!O68</f>
        <v>0</v>
      </c>
      <c r="Q75" s="322">
        <f>+'Zał.1_WPF_bazowy'!P68</f>
        <v>0</v>
      </c>
      <c r="R75" s="322">
        <f>+'Zał.1_WPF_bazowy'!Q68</f>
        <v>0</v>
      </c>
      <c r="S75" s="322">
        <f>+'Zał.1_WPF_bazowy'!R68</f>
        <v>0</v>
      </c>
      <c r="T75" s="322">
        <f>+'Zał.1_WPF_bazowy'!S68</f>
        <v>0</v>
      </c>
      <c r="U75" s="322" t="e">
        <f>+'Zał.1_WPF_bazowy'!#REF!</f>
        <v>#REF!</v>
      </c>
      <c r="V75" s="322" t="e">
        <f>+'Zał.1_WPF_bazowy'!#REF!</f>
        <v>#REF!</v>
      </c>
      <c r="W75" s="322" t="e">
        <f>+'Zał.1_WPF_bazowy'!#REF!</f>
        <v>#REF!</v>
      </c>
      <c r="X75" s="322" t="e">
        <f>+'Zał.1_WPF_bazowy'!#REF!</f>
        <v>#REF!</v>
      </c>
      <c r="Y75" s="322" t="e">
        <f>+'Zał.1_WPF_bazowy'!#REF!</f>
        <v>#REF!</v>
      </c>
      <c r="Z75" s="322" t="e">
        <f>+'Zał.1_WPF_bazowy'!#REF!</f>
        <v>#REF!</v>
      </c>
      <c r="AA75" s="322" t="e">
        <f>+'Zał.1_WPF_bazowy'!#REF!</f>
        <v>#REF!</v>
      </c>
      <c r="AB75" s="322" t="e">
        <f>+'Zał.1_WPF_bazowy'!#REF!</f>
        <v>#REF!</v>
      </c>
      <c r="AC75" s="322" t="e">
        <f>+'Zał.1_WPF_bazowy'!#REF!</f>
        <v>#REF!</v>
      </c>
      <c r="AD75" s="322" t="e">
        <f>+'Zał.1_WPF_bazowy'!#REF!</f>
        <v>#REF!</v>
      </c>
      <c r="AE75" s="322" t="e">
        <f>+'Zał.1_WPF_bazowy'!#REF!</f>
        <v>#REF!</v>
      </c>
      <c r="AF75" s="322" t="e">
        <f>+'Zał.1_WPF_bazowy'!#REF!</f>
        <v>#REF!</v>
      </c>
      <c r="AG75" s="322" t="e">
        <f>+'Zał.1_WPF_bazowy'!#REF!</f>
        <v>#REF!</v>
      </c>
      <c r="AH75" s="322" t="e">
        <f>+'Zał.1_WPF_bazowy'!#REF!</f>
        <v>#REF!</v>
      </c>
      <c r="AI75" s="322" t="e">
        <f>+'Zał.1_WPF_bazowy'!#REF!</f>
        <v>#REF!</v>
      </c>
      <c r="AJ75" s="322" t="e">
        <f>+'Zał.1_WPF_bazowy'!#REF!</f>
        <v>#REF!</v>
      </c>
      <c r="AK75" s="322" t="e">
        <f>+'Zał.1_WPF_bazowy'!#REF!</f>
        <v>#REF!</v>
      </c>
      <c r="AL75" s="322" t="e">
        <f>+'Zał.1_WPF_bazowy'!#REF!</f>
        <v>#REF!</v>
      </c>
      <c r="AM75" s="322" t="e">
        <f>+'Zał.1_WPF_bazowy'!#REF!</f>
        <v>#REF!</v>
      </c>
      <c r="AN75" s="323" t="e">
        <f>+'Zał.1_WPF_bazowy'!#REF!</f>
        <v>#REF!</v>
      </c>
    </row>
    <row r="76" spans="1:40" s="315" customFormat="1" ht="24" customHeight="1" outlineLevel="1">
      <c r="A76" s="307">
        <v>12</v>
      </c>
      <c r="B76" s="308"/>
      <c r="C76" s="309" t="s">
        <v>128</v>
      </c>
      <c r="D76" s="309"/>
      <c r="E76" s="309"/>
      <c r="F76" s="309"/>
      <c r="G76" s="341" t="s">
        <v>39</v>
      </c>
      <c r="H76" s="342" t="s">
        <v>39</v>
      </c>
      <c r="I76" s="342" t="s">
        <v>39</v>
      </c>
      <c r="J76" s="343" t="s">
        <v>39</v>
      </c>
      <c r="K76" s="344" t="s">
        <v>39</v>
      </c>
      <c r="L76" s="345" t="s">
        <v>39</v>
      </c>
      <c r="M76" s="345" t="s">
        <v>39</v>
      </c>
      <c r="N76" s="345" t="s">
        <v>39</v>
      </c>
      <c r="O76" s="345" t="s">
        <v>39</v>
      </c>
      <c r="P76" s="345" t="s">
        <v>39</v>
      </c>
      <c r="Q76" s="345" t="s">
        <v>39</v>
      </c>
      <c r="R76" s="345" t="s">
        <v>39</v>
      </c>
      <c r="S76" s="345" t="s">
        <v>39</v>
      </c>
      <c r="T76" s="345" t="s">
        <v>39</v>
      </c>
      <c r="U76" s="345" t="s">
        <v>39</v>
      </c>
      <c r="V76" s="345" t="s">
        <v>39</v>
      </c>
      <c r="W76" s="345" t="s">
        <v>39</v>
      </c>
      <c r="X76" s="345" t="s">
        <v>39</v>
      </c>
      <c r="Y76" s="345" t="s">
        <v>39</v>
      </c>
      <c r="Z76" s="345" t="s">
        <v>39</v>
      </c>
      <c r="AA76" s="345" t="s">
        <v>39</v>
      </c>
      <c r="AB76" s="345" t="s">
        <v>39</v>
      </c>
      <c r="AC76" s="345" t="s">
        <v>39</v>
      </c>
      <c r="AD76" s="345" t="s">
        <v>39</v>
      </c>
      <c r="AE76" s="345" t="s">
        <v>39</v>
      </c>
      <c r="AF76" s="345" t="s">
        <v>39</v>
      </c>
      <c r="AG76" s="345" t="s">
        <v>39</v>
      </c>
      <c r="AH76" s="345" t="s">
        <v>39</v>
      </c>
      <c r="AI76" s="345" t="s">
        <v>39</v>
      </c>
      <c r="AJ76" s="345" t="s">
        <v>39</v>
      </c>
      <c r="AK76" s="345" t="s">
        <v>39</v>
      </c>
      <c r="AL76" s="345" t="s">
        <v>39</v>
      </c>
      <c r="AM76" s="345" t="s">
        <v>39</v>
      </c>
      <c r="AN76" s="346" t="s">
        <v>39</v>
      </c>
    </row>
    <row r="77" spans="1:40" ht="24" customHeight="1" outlineLevel="2">
      <c r="A77" s="48" t="s">
        <v>129</v>
      </c>
      <c r="B77" s="316"/>
      <c r="C77" s="317"/>
      <c r="D77" s="316" t="s">
        <v>130</v>
      </c>
      <c r="E77" s="316"/>
      <c r="F77" s="316"/>
      <c r="G77" s="318">
        <f>'Zał.1_WPF_bazowy'!F70</f>
        <v>0</v>
      </c>
      <c r="H77" s="319">
        <f>'Zał.1_WPF_bazowy'!G70</f>
        <v>0</v>
      </c>
      <c r="I77" s="319">
        <f>'Zał.1_WPF_bazowy'!H70</f>
        <v>0</v>
      </c>
      <c r="J77" s="320">
        <f>'Zał.1_WPF_bazowy'!I70</f>
        <v>931390.39</v>
      </c>
      <c r="K77" s="321">
        <f>+'Zał.1_WPF_bazowy'!J70</f>
        <v>1503034.46</v>
      </c>
      <c r="L77" s="322">
        <f>+'Zał.1_WPF_bazowy'!K70</f>
        <v>222594.71</v>
      </c>
      <c r="M77" s="322">
        <f>+'Zał.1_WPF_bazowy'!L70</f>
        <v>0</v>
      </c>
      <c r="N77" s="322">
        <f>+'Zał.1_WPF_bazowy'!M70</f>
        <v>0</v>
      </c>
      <c r="O77" s="322">
        <f>+'Zał.1_WPF_bazowy'!N70</f>
        <v>0</v>
      </c>
      <c r="P77" s="322">
        <f>+'Zał.1_WPF_bazowy'!O70</f>
        <v>0</v>
      </c>
      <c r="Q77" s="322">
        <f>+'Zał.1_WPF_bazowy'!P70</f>
        <v>0</v>
      </c>
      <c r="R77" s="322">
        <f>+'Zał.1_WPF_bazowy'!Q70</f>
        <v>0</v>
      </c>
      <c r="S77" s="322">
        <f>+'Zał.1_WPF_bazowy'!R70</f>
        <v>0</v>
      </c>
      <c r="T77" s="322">
        <f>+'Zał.1_WPF_bazowy'!S70</f>
        <v>0</v>
      </c>
      <c r="U77" s="322" t="e">
        <f>+'Zał.1_WPF_bazowy'!#REF!</f>
        <v>#REF!</v>
      </c>
      <c r="V77" s="322" t="e">
        <f>+'Zał.1_WPF_bazowy'!#REF!</f>
        <v>#REF!</v>
      </c>
      <c r="W77" s="322" t="e">
        <f>+'Zał.1_WPF_bazowy'!#REF!</f>
        <v>#REF!</v>
      </c>
      <c r="X77" s="322" t="e">
        <f>+'Zał.1_WPF_bazowy'!#REF!</f>
        <v>#REF!</v>
      </c>
      <c r="Y77" s="322" t="e">
        <f>+'Zał.1_WPF_bazowy'!#REF!</f>
        <v>#REF!</v>
      </c>
      <c r="Z77" s="322" t="e">
        <f>+'Zał.1_WPF_bazowy'!#REF!</f>
        <v>#REF!</v>
      </c>
      <c r="AA77" s="322" t="e">
        <f>+'Zał.1_WPF_bazowy'!#REF!</f>
        <v>#REF!</v>
      </c>
      <c r="AB77" s="322" t="e">
        <f>+'Zał.1_WPF_bazowy'!#REF!</f>
        <v>#REF!</v>
      </c>
      <c r="AC77" s="322" t="e">
        <f>+'Zał.1_WPF_bazowy'!#REF!</f>
        <v>#REF!</v>
      </c>
      <c r="AD77" s="322" t="e">
        <f>+'Zał.1_WPF_bazowy'!#REF!</f>
        <v>#REF!</v>
      </c>
      <c r="AE77" s="322" t="e">
        <f>+'Zał.1_WPF_bazowy'!#REF!</f>
        <v>#REF!</v>
      </c>
      <c r="AF77" s="322" t="e">
        <f>+'Zał.1_WPF_bazowy'!#REF!</f>
        <v>#REF!</v>
      </c>
      <c r="AG77" s="322" t="e">
        <f>+'Zał.1_WPF_bazowy'!#REF!</f>
        <v>#REF!</v>
      </c>
      <c r="AH77" s="322" t="e">
        <f>+'Zał.1_WPF_bazowy'!#REF!</f>
        <v>#REF!</v>
      </c>
      <c r="AI77" s="322" t="e">
        <f>+'Zał.1_WPF_bazowy'!#REF!</f>
        <v>#REF!</v>
      </c>
      <c r="AJ77" s="322" t="e">
        <f>+'Zał.1_WPF_bazowy'!#REF!</f>
        <v>#REF!</v>
      </c>
      <c r="AK77" s="322" t="e">
        <f>+'Zał.1_WPF_bazowy'!#REF!</f>
        <v>#REF!</v>
      </c>
      <c r="AL77" s="322" t="e">
        <f>+'Zał.1_WPF_bazowy'!#REF!</f>
        <v>#REF!</v>
      </c>
      <c r="AM77" s="322" t="e">
        <f>+'Zał.1_WPF_bazowy'!#REF!</f>
        <v>#REF!</v>
      </c>
      <c r="AN77" s="323" t="e">
        <f>+'Zał.1_WPF_bazowy'!#REF!</f>
        <v>#REF!</v>
      </c>
    </row>
    <row r="78" spans="1:40" ht="14.25" customHeight="1" outlineLevel="2">
      <c r="A78" s="48" t="s">
        <v>131</v>
      </c>
      <c r="B78" s="316"/>
      <c r="C78" s="317"/>
      <c r="D78" s="324"/>
      <c r="E78" s="316" t="s">
        <v>132</v>
      </c>
      <c r="F78" s="316"/>
      <c r="G78" s="318">
        <f>'Zał.1_WPF_bazowy'!F71</f>
        <v>965905.76</v>
      </c>
      <c r="H78" s="319">
        <f>'Zał.1_WPF_bazowy'!G71</f>
        <v>0</v>
      </c>
      <c r="I78" s="319">
        <f>'Zał.1_WPF_bazowy'!H71</f>
        <v>0</v>
      </c>
      <c r="J78" s="320">
        <f>'Zał.1_WPF_bazowy'!I71</f>
        <v>931390.39</v>
      </c>
      <c r="K78" s="321">
        <f>+'Zał.1_WPF_bazowy'!J71</f>
        <v>1503034.46</v>
      </c>
      <c r="L78" s="322">
        <f>+'Zał.1_WPF_bazowy'!K71</f>
        <v>222594.71</v>
      </c>
      <c r="M78" s="322">
        <f>+'Zał.1_WPF_bazowy'!L71</f>
        <v>0</v>
      </c>
      <c r="N78" s="322">
        <f>+'Zał.1_WPF_bazowy'!M71</f>
        <v>0</v>
      </c>
      <c r="O78" s="322">
        <f>+'Zał.1_WPF_bazowy'!N71</f>
        <v>0</v>
      </c>
      <c r="P78" s="322">
        <f>+'Zał.1_WPF_bazowy'!O71</f>
        <v>0</v>
      </c>
      <c r="Q78" s="322">
        <f>+'Zał.1_WPF_bazowy'!P71</f>
        <v>0</v>
      </c>
      <c r="R78" s="322">
        <f>+'Zał.1_WPF_bazowy'!Q71</f>
        <v>0</v>
      </c>
      <c r="S78" s="322">
        <f>+'Zał.1_WPF_bazowy'!R71</f>
        <v>0</v>
      </c>
      <c r="T78" s="322">
        <f>+'Zał.1_WPF_bazowy'!S71</f>
        <v>0</v>
      </c>
      <c r="U78" s="322" t="e">
        <f>+'Zał.1_WPF_bazowy'!#REF!</f>
        <v>#REF!</v>
      </c>
      <c r="V78" s="322" t="e">
        <f>+'Zał.1_WPF_bazowy'!#REF!</f>
        <v>#REF!</v>
      </c>
      <c r="W78" s="322" t="e">
        <f>+'Zał.1_WPF_bazowy'!#REF!</f>
        <v>#REF!</v>
      </c>
      <c r="X78" s="322" t="e">
        <f>+'Zał.1_WPF_bazowy'!#REF!</f>
        <v>#REF!</v>
      </c>
      <c r="Y78" s="322" t="e">
        <f>+'Zał.1_WPF_bazowy'!#REF!</f>
        <v>#REF!</v>
      </c>
      <c r="Z78" s="322" t="e">
        <f>+'Zał.1_WPF_bazowy'!#REF!</f>
        <v>#REF!</v>
      </c>
      <c r="AA78" s="322" t="e">
        <f>+'Zał.1_WPF_bazowy'!#REF!</f>
        <v>#REF!</v>
      </c>
      <c r="AB78" s="322" t="e">
        <f>+'Zał.1_WPF_bazowy'!#REF!</f>
        <v>#REF!</v>
      </c>
      <c r="AC78" s="322" t="e">
        <f>+'Zał.1_WPF_bazowy'!#REF!</f>
        <v>#REF!</v>
      </c>
      <c r="AD78" s="322" t="e">
        <f>+'Zał.1_WPF_bazowy'!#REF!</f>
        <v>#REF!</v>
      </c>
      <c r="AE78" s="322" t="e">
        <f>+'Zał.1_WPF_bazowy'!#REF!</f>
        <v>#REF!</v>
      </c>
      <c r="AF78" s="322" t="e">
        <f>+'Zał.1_WPF_bazowy'!#REF!</f>
        <v>#REF!</v>
      </c>
      <c r="AG78" s="322" t="e">
        <f>+'Zał.1_WPF_bazowy'!#REF!</f>
        <v>#REF!</v>
      </c>
      <c r="AH78" s="322" t="e">
        <f>+'Zał.1_WPF_bazowy'!#REF!</f>
        <v>#REF!</v>
      </c>
      <c r="AI78" s="322" t="e">
        <f>+'Zał.1_WPF_bazowy'!#REF!</f>
        <v>#REF!</v>
      </c>
      <c r="AJ78" s="322" t="e">
        <f>+'Zał.1_WPF_bazowy'!#REF!</f>
        <v>#REF!</v>
      </c>
      <c r="AK78" s="322" t="e">
        <f>+'Zał.1_WPF_bazowy'!#REF!</f>
        <v>#REF!</v>
      </c>
      <c r="AL78" s="322" t="e">
        <f>+'Zał.1_WPF_bazowy'!#REF!</f>
        <v>#REF!</v>
      </c>
      <c r="AM78" s="322" t="e">
        <f>+'Zał.1_WPF_bazowy'!#REF!</f>
        <v>#REF!</v>
      </c>
      <c r="AN78" s="323" t="e">
        <f>+'Zał.1_WPF_bazowy'!#REF!</f>
        <v>#REF!</v>
      </c>
    </row>
    <row r="79" spans="1:40" ht="24" customHeight="1" outlineLevel="2">
      <c r="A79" s="48" t="s">
        <v>133</v>
      </c>
      <c r="B79" s="316"/>
      <c r="C79" s="317"/>
      <c r="D79" s="324"/>
      <c r="E79" s="324"/>
      <c r="F79" s="316" t="s">
        <v>134</v>
      </c>
      <c r="G79" s="318">
        <f>'Zał.1_WPF_bazowy'!F72</f>
        <v>0</v>
      </c>
      <c r="H79" s="319">
        <f>'Zał.1_WPF_bazowy'!G72</f>
        <v>0</v>
      </c>
      <c r="I79" s="319">
        <f>'Zał.1_WPF_bazowy'!H72</f>
        <v>0</v>
      </c>
      <c r="J79" s="320">
        <f>'Zał.1_WPF_bazowy'!I72</f>
        <v>0</v>
      </c>
      <c r="K79" s="321">
        <f>+'Zał.1_WPF_bazowy'!J72</f>
        <v>1503034.46</v>
      </c>
      <c r="L79" s="322">
        <f>+'Zał.1_WPF_bazowy'!K72</f>
        <v>222594.71</v>
      </c>
      <c r="M79" s="322">
        <f>+'Zał.1_WPF_bazowy'!L72</f>
        <v>0</v>
      </c>
      <c r="N79" s="322">
        <f>+'Zał.1_WPF_bazowy'!M72</f>
        <v>0</v>
      </c>
      <c r="O79" s="322">
        <f>+'Zał.1_WPF_bazowy'!N72</f>
        <v>0</v>
      </c>
      <c r="P79" s="322">
        <f>+'Zał.1_WPF_bazowy'!O72</f>
        <v>0</v>
      </c>
      <c r="Q79" s="322">
        <f>+'Zał.1_WPF_bazowy'!P72</f>
        <v>0</v>
      </c>
      <c r="R79" s="322">
        <f>+'Zał.1_WPF_bazowy'!Q72</f>
        <v>0</v>
      </c>
      <c r="S79" s="322">
        <f>+'Zał.1_WPF_bazowy'!R72</f>
        <v>0</v>
      </c>
      <c r="T79" s="322">
        <f>+'Zał.1_WPF_bazowy'!S72</f>
        <v>0</v>
      </c>
      <c r="U79" s="322" t="e">
        <f>+'Zał.1_WPF_bazowy'!#REF!</f>
        <v>#REF!</v>
      </c>
      <c r="V79" s="322" t="e">
        <f>+'Zał.1_WPF_bazowy'!#REF!</f>
        <v>#REF!</v>
      </c>
      <c r="W79" s="322" t="e">
        <f>+'Zał.1_WPF_bazowy'!#REF!</f>
        <v>#REF!</v>
      </c>
      <c r="X79" s="322" t="e">
        <f>+'Zał.1_WPF_bazowy'!#REF!</f>
        <v>#REF!</v>
      </c>
      <c r="Y79" s="322" t="e">
        <f>+'Zał.1_WPF_bazowy'!#REF!</f>
        <v>#REF!</v>
      </c>
      <c r="Z79" s="322" t="e">
        <f>+'Zał.1_WPF_bazowy'!#REF!</f>
        <v>#REF!</v>
      </c>
      <c r="AA79" s="322" t="e">
        <f>+'Zał.1_WPF_bazowy'!#REF!</f>
        <v>#REF!</v>
      </c>
      <c r="AB79" s="322" t="e">
        <f>+'Zał.1_WPF_bazowy'!#REF!</f>
        <v>#REF!</v>
      </c>
      <c r="AC79" s="322" t="e">
        <f>+'Zał.1_WPF_bazowy'!#REF!</f>
        <v>#REF!</v>
      </c>
      <c r="AD79" s="322" t="e">
        <f>+'Zał.1_WPF_bazowy'!#REF!</f>
        <v>#REF!</v>
      </c>
      <c r="AE79" s="322" t="e">
        <f>+'Zał.1_WPF_bazowy'!#REF!</f>
        <v>#REF!</v>
      </c>
      <c r="AF79" s="322" t="e">
        <f>+'Zał.1_WPF_bazowy'!#REF!</f>
        <v>#REF!</v>
      </c>
      <c r="AG79" s="322" t="e">
        <f>+'Zał.1_WPF_bazowy'!#REF!</f>
        <v>#REF!</v>
      </c>
      <c r="AH79" s="322" t="e">
        <f>+'Zał.1_WPF_bazowy'!#REF!</f>
        <v>#REF!</v>
      </c>
      <c r="AI79" s="322" t="e">
        <f>+'Zał.1_WPF_bazowy'!#REF!</f>
        <v>#REF!</v>
      </c>
      <c r="AJ79" s="322" t="e">
        <f>+'Zał.1_WPF_bazowy'!#REF!</f>
        <v>#REF!</v>
      </c>
      <c r="AK79" s="322" t="e">
        <f>+'Zał.1_WPF_bazowy'!#REF!</f>
        <v>#REF!</v>
      </c>
      <c r="AL79" s="322" t="e">
        <f>+'Zał.1_WPF_bazowy'!#REF!</f>
        <v>#REF!</v>
      </c>
      <c r="AM79" s="322" t="e">
        <f>+'Zał.1_WPF_bazowy'!#REF!</f>
        <v>#REF!</v>
      </c>
      <c r="AN79" s="323" t="e">
        <f>+'Zał.1_WPF_bazowy'!#REF!</f>
        <v>#REF!</v>
      </c>
    </row>
    <row r="80" spans="1:40" ht="24" customHeight="1" outlineLevel="2">
      <c r="A80" s="48" t="s">
        <v>135</v>
      </c>
      <c r="B80" s="316"/>
      <c r="C80" s="317"/>
      <c r="D80" s="316" t="s">
        <v>136</v>
      </c>
      <c r="E80" s="316"/>
      <c r="F80" s="316"/>
      <c r="G80" s="318">
        <f>'Zał.1_WPF_bazowy'!F73</f>
        <v>0</v>
      </c>
      <c r="H80" s="319">
        <f>'Zał.1_WPF_bazowy'!G73</f>
        <v>0</v>
      </c>
      <c r="I80" s="319">
        <f>'Zał.1_WPF_bazowy'!H73</f>
        <v>0</v>
      </c>
      <c r="J80" s="320">
        <f>'Zał.1_WPF_bazowy'!I73</f>
        <v>0</v>
      </c>
      <c r="K80" s="321">
        <f>+'Zał.1_WPF_bazowy'!J73</f>
        <v>529995.71</v>
      </c>
      <c r="L80" s="322">
        <f>+'Zał.1_WPF_bazowy'!K73</f>
        <v>0</v>
      </c>
      <c r="M80" s="322">
        <f>+'Zał.1_WPF_bazowy'!L73</f>
        <v>0</v>
      </c>
      <c r="N80" s="322">
        <f>+'Zał.1_WPF_bazowy'!M73</f>
        <v>0</v>
      </c>
      <c r="O80" s="322">
        <f>+'Zał.1_WPF_bazowy'!N73</f>
        <v>0</v>
      </c>
      <c r="P80" s="322">
        <f>+'Zał.1_WPF_bazowy'!O73</f>
        <v>0</v>
      </c>
      <c r="Q80" s="322">
        <f>+'Zał.1_WPF_bazowy'!P73</f>
        <v>0</v>
      </c>
      <c r="R80" s="322">
        <f>+'Zał.1_WPF_bazowy'!Q73</f>
        <v>0</v>
      </c>
      <c r="S80" s="322">
        <f>+'Zał.1_WPF_bazowy'!R73</f>
        <v>0</v>
      </c>
      <c r="T80" s="322">
        <f>+'Zał.1_WPF_bazowy'!S73</f>
        <v>0</v>
      </c>
      <c r="U80" s="322" t="e">
        <f>+'Zał.1_WPF_bazowy'!#REF!</f>
        <v>#REF!</v>
      </c>
      <c r="V80" s="322" t="e">
        <f>+'Zał.1_WPF_bazowy'!#REF!</f>
        <v>#REF!</v>
      </c>
      <c r="W80" s="322" t="e">
        <f>+'Zał.1_WPF_bazowy'!#REF!</f>
        <v>#REF!</v>
      </c>
      <c r="X80" s="322" t="e">
        <f>+'Zał.1_WPF_bazowy'!#REF!</f>
        <v>#REF!</v>
      </c>
      <c r="Y80" s="322" t="e">
        <f>+'Zał.1_WPF_bazowy'!#REF!</f>
        <v>#REF!</v>
      </c>
      <c r="Z80" s="322" t="e">
        <f>+'Zał.1_WPF_bazowy'!#REF!</f>
        <v>#REF!</v>
      </c>
      <c r="AA80" s="322" t="e">
        <f>+'Zał.1_WPF_bazowy'!#REF!</f>
        <v>#REF!</v>
      </c>
      <c r="AB80" s="322" t="e">
        <f>+'Zał.1_WPF_bazowy'!#REF!</f>
        <v>#REF!</v>
      </c>
      <c r="AC80" s="322" t="e">
        <f>+'Zał.1_WPF_bazowy'!#REF!</f>
        <v>#REF!</v>
      </c>
      <c r="AD80" s="322" t="e">
        <f>+'Zał.1_WPF_bazowy'!#REF!</f>
        <v>#REF!</v>
      </c>
      <c r="AE80" s="322" t="e">
        <f>+'Zał.1_WPF_bazowy'!#REF!</f>
        <v>#REF!</v>
      </c>
      <c r="AF80" s="322" t="e">
        <f>+'Zał.1_WPF_bazowy'!#REF!</f>
        <v>#REF!</v>
      </c>
      <c r="AG80" s="322" t="e">
        <f>+'Zał.1_WPF_bazowy'!#REF!</f>
        <v>#REF!</v>
      </c>
      <c r="AH80" s="322" t="e">
        <f>+'Zał.1_WPF_bazowy'!#REF!</f>
        <v>#REF!</v>
      </c>
      <c r="AI80" s="322" t="e">
        <f>+'Zał.1_WPF_bazowy'!#REF!</f>
        <v>#REF!</v>
      </c>
      <c r="AJ80" s="322" t="e">
        <f>+'Zał.1_WPF_bazowy'!#REF!</f>
        <v>#REF!</v>
      </c>
      <c r="AK80" s="322" t="e">
        <f>+'Zał.1_WPF_bazowy'!#REF!</f>
        <v>#REF!</v>
      </c>
      <c r="AL80" s="322" t="e">
        <f>+'Zał.1_WPF_bazowy'!#REF!</f>
        <v>#REF!</v>
      </c>
      <c r="AM80" s="322" t="e">
        <f>+'Zał.1_WPF_bazowy'!#REF!</f>
        <v>#REF!</v>
      </c>
      <c r="AN80" s="323" t="e">
        <f>+'Zał.1_WPF_bazowy'!#REF!</f>
        <v>#REF!</v>
      </c>
    </row>
    <row r="81" spans="1:40" ht="14.25" customHeight="1" outlineLevel="2">
      <c r="A81" s="48" t="s">
        <v>137</v>
      </c>
      <c r="B81" s="316"/>
      <c r="C81" s="317"/>
      <c r="D81" s="324"/>
      <c r="E81" s="316" t="s">
        <v>132</v>
      </c>
      <c r="F81" s="316"/>
      <c r="G81" s="318">
        <f>'Zał.1_WPF_bazowy'!F74</f>
        <v>3773685.71</v>
      </c>
      <c r="H81" s="319">
        <f>'Zał.1_WPF_bazowy'!G74</f>
        <v>0</v>
      </c>
      <c r="I81" s="319">
        <f>'Zał.1_WPF_bazowy'!H74</f>
        <v>3830155.48</v>
      </c>
      <c r="J81" s="320">
        <f>'Zał.1_WPF_bazowy'!I74</f>
        <v>3113726.16</v>
      </c>
      <c r="K81" s="321">
        <f>+'Zał.1_WPF_bazowy'!J74</f>
        <v>529995.71</v>
      </c>
      <c r="L81" s="322">
        <f>+'Zał.1_WPF_bazowy'!K74</f>
        <v>0</v>
      </c>
      <c r="M81" s="322">
        <f>+'Zał.1_WPF_bazowy'!L74</f>
        <v>0</v>
      </c>
      <c r="N81" s="322">
        <f>+'Zał.1_WPF_bazowy'!M74</f>
        <v>0</v>
      </c>
      <c r="O81" s="322">
        <f>+'Zał.1_WPF_bazowy'!N74</f>
        <v>0</v>
      </c>
      <c r="P81" s="322">
        <f>+'Zał.1_WPF_bazowy'!O74</f>
        <v>0</v>
      </c>
      <c r="Q81" s="322">
        <f>+'Zał.1_WPF_bazowy'!P74</f>
        <v>0</v>
      </c>
      <c r="R81" s="322">
        <f>+'Zał.1_WPF_bazowy'!Q74</f>
        <v>0</v>
      </c>
      <c r="S81" s="322">
        <f>+'Zał.1_WPF_bazowy'!R74</f>
        <v>0</v>
      </c>
      <c r="T81" s="322">
        <f>+'Zał.1_WPF_bazowy'!S74</f>
        <v>0</v>
      </c>
      <c r="U81" s="322" t="e">
        <f>+'Zał.1_WPF_bazowy'!#REF!</f>
        <v>#REF!</v>
      </c>
      <c r="V81" s="322" t="e">
        <f>+'Zał.1_WPF_bazowy'!#REF!</f>
        <v>#REF!</v>
      </c>
      <c r="W81" s="322" t="e">
        <f>+'Zał.1_WPF_bazowy'!#REF!</f>
        <v>#REF!</v>
      </c>
      <c r="X81" s="322" t="e">
        <f>+'Zał.1_WPF_bazowy'!#REF!</f>
        <v>#REF!</v>
      </c>
      <c r="Y81" s="322" t="e">
        <f>+'Zał.1_WPF_bazowy'!#REF!</f>
        <v>#REF!</v>
      </c>
      <c r="Z81" s="322" t="e">
        <f>+'Zał.1_WPF_bazowy'!#REF!</f>
        <v>#REF!</v>
      </c>
      <c r="AA81" s="322" t="e">
        <f>+'Zał.1_WPF_bazowy'!#REF!</f>
        <v>#REF!</v>
      </c>
      <c r="AB81" s="322" t="e">
        <f>+'Zał.1_WPF_bazowy'!#REF!</f>
        <v>#REF!</v>
      </c>
      <c r="AC81" s="322" t="e">
        <f>+'Zał.1_WPF_bazowy'!#REF!</f>
        <v>#REF!</v>
      </c>
      <c r="AD81" s="322" t="e">
        <f>+'Zał.1_WPF_bazowy'!#REF!</f>
        <v>#REF!</v>
      </c>
      <c r="AE81" s="322" t="e">
        <f>+'Zał.1_WPF_bazowy'!#REF!</f>
        <v>#REF!</v>
      </c>
      <c r="AF81" s="322" t="e">
        <f>+'Zał.1_WPF_bazowy'!#REF!</f>
        <v>#REF!</v>
      </c>
      <c r="AG81" s="322" t="e">
        <f>+'Zał.1_WPF_bazowy'!#REF!</f>
        <v>#REF!</v>
      </c>
      <c r="AH81" s="322" t="e">
        <f>+'Zał.1_WPF_bazowy'!#REF!</f>
        <v>#REF!</v>
      </c>
      <c r="AI81" s="322" t="e">
        <f>+'Zał.1_WPF_bazowy'!#REF!</f>
        <v>#REF!</v>
      </c>
      <c r="AJ81" s="322" t="e">
        <f>+'Zał.1_WPF_bazowy'!#REF!</f>
        <v>#REF!</v>
      </c>
      <c r="AK81" s="322" t="e">
        <f>+'Zał.1_WPF_bazowy'!#REF!</f>
        <v>#REF!</v>
      </c>
      <c r="AL81" s="322" t="e">
        <f>+'Zał.1_WPF_bazowy'!#REF!</f>
        <v>#REF!</v>
      </c>
      <c r="AM81" s="322" t="e">
        <f>+'Zał.1_WPF_bazowy'!#REF!</f>
        <v>#REF!</v>
      </c>
      <c r="AN81" s="323" t="e">
        <f>+'Zał.1_WPF_bazowy'!#REF!</f>
        <v>#REF!</v>
      </c>
    </row>
    <row r="82" spans="1:40" ht="24" customHeight="1" outlineLevel="2">
      <c r="A82" s="48" t="s">
        <v>138</v>
      </c>
      <c r="B82" s="316"/>
      <c r="C82" s="317"/>
      <c r="D82" s="324"/>
      <c r="E82" s="324"/>
      <c r="F82" s="328" t="s">
        <v>139</v>
      </c>
      <c r="G82" s="318">
        <f>'Zał.1_WPF_bazowy'!F75</f>
        <v>0</v>
      </c>
      <c r="H82" s="319">
        <f>'Zał.1_WPF_bazowy'!G75</f>
        <v>0</v>
      </c>
      <c r="I82" s="319">
        <f>'Zał.1_WPF_bazowy'!H75</f>
        <v>0</v>
      </c>
      <c r="J82" s="320">
        <f>'Zał.1_WPF_bazowy'!I75</f>
        <v>0</v>
      </c>
      <c r="K82" s="321">
        <f>+'Zał.1_WPF_bazowy'!J75</f>
        <v>529995.71</v>
      </c>
      <c r="L82" s="322">
        <f>+'Zał.1_WPF_bazowy'!K75</f>
        <v>0</v>
      </c>
      <c r="M82" s="322">
        <f>+'Zał.1_WPF_bazowy'!L75</f>
        <v>0</v>
      </c>
      <c r="N82" s="322">
        <f>+'Zał.1_WPF_bazowy'!M75</f>
        <v>0</v>
      </c>
      <c r="O82" s="322">
        <f>+'Zał.1_WPF_bazowy'!N75</f>
        <v>0</v>
      </c>
      <c r="P82" s="322">
        <f>+'Zał.1_WPF_bazowy'!O75</f>
        <v>0</v>
      </c>
      <c r="Q82" s="322">
        <f>+'Zał.1_WPF_bazowy'!P75</f>
        <v>0</v>
      </c>
      <c r="R82" s="322">
        <f>+'Zał.1_WPF_bazowy'!Q75</f>
        <v>0</v>
      </c>
      <c r="S82" s="322">
        <f>+'Zał.1_WPF_bazowy'!R75</f>
        <v>0</v>
      </c>
      <c r="T82" s="322">
        <f>+'Zał.1_WPF_bazowy'!S75</f>
        <v>0</v>
      </c>
      <c r="U82" s="322" t="e">
        <f>+'Zał.1_WPF_bazowy'!#REF!</f>
        <v>#REF!</v>
      </c>
      <c r="V82" s="322" t="e">
        <f>+'Zał.1_WPF_bazowy'!#REF!</f>
        <v>#REF!</v>
      </c>
      <c r="W82" s="322" t="e">
        <f>+'Zał.1_WPF_bazowy'!#REF!</f>
        <v>#REF!</v>
      </c>
      <c r="X82" s="322" t="e">
        <f>+'Zał.1_WPF_bazowy'!#REF!</f>
        <v>#REF!</v>
      </c>
      <c r="Y82" s="322" t="e">
        <f>+'Zał.1_WPF_bazowy'!#REF!</f>
        <v>#REF!</v>
      </c>
      <c r="Z82" s="322" t="e">
        <f>+'Zał.1_WPF_bazowy'!#REF!</f>
        <v>#REF!</v>
      </c>
      <c r="AA82" s="322" t="e">
        <f>+'Zał.1_WPF_bazowy'!#REF!</f>
        <v>#REF!</v>
      </c>
      <c r="AB82" s="322" t="e">
        <f>+'Zał.1_WPF_bazowy'!#REF!</f>
        <v>#REF!</v>
      </c>
      <c r="AC82" s="322" t="e">
        <f>+'Zał.1_WPF_bazowy'!#REF!</f>
        <v>#REF!</v>
      </c>
      <c r="AD82" s="322" t="e">
        <f>+'Zał.1_WPF_bazowy'!#REF!</f>
        <v>#REF!</v>
      </c>
      <c r="AE82" s="322" t="e">
        <f>+'Zał.1_WPF_bazowy'!#REF!</f>
        <v>#REF!</v>
      </c>
      <c r="AF82" s="322" t="e">
        <f>+'Zał.1_WPF_bazowy'!#REF!</f>
        <v>#REF!</v>
      </c>
      <c r="AG82" s="322" t="e">
        <f>+'Zał.1_WPF_bazowy'!#REF!</f>
        <v>#REF!</v>
      </c>
      <c r="AH82" s="322" t="e">
        <f>+'Zał.1_WPF_bazowy'!#REF!</f>
        <v>#REF!</v>
      </c>
      <c r="AI82" s="322" t="e">
        <f>+'Zał.1_WPF_bazowy'!#REF!</f>
        <v>#REF!</v>
      </c>
      <c r="AJ82" s="322" t="e">
        <f>+'Zał.1_WPF_bazowy'!#REF!</f>
        <v>#REF!</v>
      </c>
      <c r="AK82" s="322" t="e">
        <f>+'Zał.1_WPF_bazowy'!#REF!</f>
        <v>#REF!</v>
      </c>
      <c r="AL82" s="322" t="e">
        <f>+'Zał.1_WPF_bazowy'!#REF!</f>
        <v>#REF!</v>
      </c>
      <c r="AM82" s="322" t="e">
        <f>+'Zał.1_WPF_bazowy'!#REF!</f>
        <v>#REF!</v>
      </c>
      <c r="AN82" s="323" t="e">
        <f>+'Zał.1_WPF_bazowy'!#REF!</f>
        <v>#REF!</v>
      </c>
    </row>
    <row r="83" spans="1:40" ht="24" customHeight="1" outlineLevel="2">
      <c r="A83" s="48" t="s">
        <v>140</v>
      </c>
      <c r="B83" s="316"/>
      <c r="C83" s="317"/>
      <c r="D83" s="316" t="s">
        <v>141</v>
      </c>
      <c r="E83" s="316"/>
      <c r="F83" s="316"/>
      <c r="G83" s="318">
        <f>'Zał.1_WPF_bazowy'!F76</f>
        <v>0</v>
      </c>
      <c r="H83" s="319">
        <f>'Zał.1_WPF_bazowy'!G76</f>
        <v>0</v>
      </c>
      <c r="I83" s="319">
        <f>'Zał.1_WPF_bazowy'!H76</f>
        <v>0</v>
      </c>
      <c r="J83" s="320">
        <f>'Zał.1_WPF_bazowy'!I76</f>
        <v>0</v>
      </c>
      <c r="K83" s="321">
        <f>+'Zał.1_WPF_bazowy'!J76</f>
        <v>1742648.2</v>
      </c>
      <c r="L83" s="322">
        <f>+'Zał.1_WPF_bazowy'!K76</f>
        <v>262135.15</v>
      </c>
      <c r="M83" s="322">
        <f>+'Zał.1_WPF_bazowy'!L76</f>
        <v>0</v>
      </c>
      <c r="N83" s="322">
        <f>+'Zał.1_WPF_bazowy'!M76</f>
        <v>0</v>
      </c>
      <c r="O83" s="322">
        <f>+'Zał.1_WPF_bazowy'!N76</f>
        <v>0</v>
      </c>
      <c r="P83" s="322">
        <f>+'Zał.1_WPF_bazowy'!O76</f>
        <v>0</v>
      </c>
      <c r="Q83" s="322">
        <f>+'Zał.1_WPF_bazowy'!P76</f>
        <v>0</v>
      </c>
      <c r="R83" s="322">
        <f>+'Zał.1_WPF_bazowy'!Q76</f>
        <v>0</v>
      </c>
      <c r="S83" s="322">
        <f>+'Zał.1_WPF_bazowy'!R76</f>
        <v>0</v>
      </c>
      <c r="T83" s="322">
        <f>+'Zał.1_WPF_bazowy'!S76</f>
        <v>0</v>
      </c>
      <c r="U83" s="322" t="e">
        <f>+'Zał.1_WPF_bazowy'!#REF!</f>
        <v>#REF!</v>
      </c>
      <c r="V83" s="322" t="e">
        <f>+'Zał.1_WPF_bazowy'!#REF!</f>
        <v>#REF!</v>
      </c>
      <c r="W83" s="322" t="e">
        <f>+'Zał.1_WPF_bazowy'!#REF!</f>
        <v>#REF!</v>
      </c>
      <c r="X83" s="322" t="e">
        <f>+'Zał.1_WPF_bazowy'!#REF!</f>
        <v>#REF!</v>
      </c>
      <c r="Y83" s="322" t="e">
        <f>+'Zał.1_WPF_bazowy'!#REF!</f>
        <v>#REF!</v>
      </c>
      <c r="Z83" s="322" t="e">
        <f>+'Zał.1_WPF_bazowy'!#REF!</f>
        <v>#REF!</v>
      </c>
      <c r="AA83" s="322" t="e">
        <f>+'Zał.1_WPF_bazowy'!#REF!</f>
        <v>#REF!</v>
      </c>
      <c r="AB83" s="322" t="e">
        <f>+'Zał.1_WPF_bazowy'!#REF!</f>
        <v>#REF!</v>
      </c>
      <c r="AC83" s="322" t="e">
        <f>+'Zał.1_WPF_bazowy'!#REF!</f>
        <v>#REF!</v>
      </c>
      <c r="AD83" s="322" t="e">
        <f>+'Zał.1_WPF_bazowy'!#REF!</f>
        <v>#REF!</v>
      </c>
      <c r="AE83" s="322" t="e">
        <f>+'Zał.1_WPF_bazowy'!#REF!</f>
        <v>#REF!</v>
      </c>
      <c r="AF83" s="322" t="e">
        <f>+'Zał.1_WPF_bazowy'!#REF!</f>
        <v>#REF!</v>
      </c>
      <c r="AG83" s="322" t="e">
        <f>+'Zał.1_WPF_bazowy'!#REF!</f>
        <v>#REF!</v>
      </c>
      <c r="AH83" s="322" t="e">
        <f>+'Zał.1_WPF_bazowy'!#REF!</f>
        <v>#REF!</v>
      </c>
      <c r="AI83" s="322" t="e">
        <f>+'Zał.1_WPF_bazowy'!#REF!</f>
        <v>#REF!</v>
      </c>
      <c r="AJ83" s="322" t="e">
        <f>+'Zał.1_WPF_bazowy'!#REF!</f>
        <v>#REF!</v>
      </c>
      <c r="AK83" s="322" t="e">
        <f>+'Zał.1_WPF_bazowy'!#REF!</f>
        <v>#REF!</v>
      </c>
      <c r="AL83" s="322" t="e">
        <f>+'Zał.1_WPF_bazowy'!#REF!</f>
        <v>#REF!</v>
      </c>
      <c r="AM83" s="322" t="e">
        <f>+'Zał.1_WPF_bazowy'!#REF!</f>
        <v>#REF!</v>
      </c>
      <c r="AN83" s="323" t="e">
        <f>+'Zał.1_WPF_bazowy'!#REF!</f>
        <v>#REF!</v>
      </c>
    </row>
    <row r="84" spans="1:40" ht="14.25" customHeight="1" outlineLevel="2">
      <c r="A84" s="48" t="s">
        <v>142</v>
      </c>
      <c r="B84" s="316"/>
      <c r="C84" s="317"/>
      <c r="D84" s="324"/>
      <c r="E84" s="316" t="s">
        <v>143</v>
      </c>
      <c r="F84" s="316"/>
      <c r="G84" s="318">
        <f>'Zał.1_WPF_bazowy'!F77</f>
        <v>0</v>
      </c>
      <c r="H84" s="319">
        <f>'Zał.1_WPF_bazowy'!G77</f>
        <v>0</v>
      </c>
      <c r="I84" s="319">
        <f>'Zał.1_WPF_bazowy'!H77</f>
        <v>1221877.52</v>
      </c>
      <c r="J84" s="320">
        <f>'Zał.1_WPF_bazowy'!I77</f>
        <v>1128926.89</v>
      </c>
      <c r="K84" s="321">
        <f>+'Zał.1_WPF_bazowy'!J77</f>
        <v>1490323.61</v>
      </c>
      <c r="L84" s="322">
        <f>+'Zał.1_WPF_bazowy'!K77</f>
        <v>222594.71</v>
      </c>
      <c r="M84" s="322">
        <f>+'Zał.1_WPF_bazowy'!L77</f>
        <v>0</v>
      </c>
      <c r="N84" s="322">
        <f>+'Zał.1_WPF_bazowy'!M77</f>
        <v>0</v>
      </c>
      <c r="O84" s="322">
        <f>+'Zał.1_WPF_bazowy'!N77</f>
        <v>0</v>
      </c>
      <c r="P84" s="322">
        <f>+'Zał.1_WPF_bazowy'!O77</f>
        <v>0</v>
      </c>
      <c r="Q84" s="322">
        <f>+'Zał.1_WPF_bazowy'!P77</f>
        <v>0</v>
      </c>
      <c r="R84" s="322">
        <f>+'Zał.1_WPF_bazowy'!Q77</f>
        <v>0</v>
      </c>
      <c r="S84" s="322">
        <f>+'Zał.1_WPF_bazowy'!R77</f>
        <v>0</v>
      </c>
      <c r="T84" s="322">
        <f>+'Zał.1_WPF_bazowy'!S77</f>
        <v>0</v>
      </c>
      <c r="U84" s="322" t="e">
        <f>+'Zał.1_WPF_bazowy'!#REF!</f>
        <v>#REF!</v>
      </c>
      <c r="V84" s="322" t="e">
        <f>+'Zał.1_WPF_bazowy'!#REF!</f>
        <v>#REF!</v>
      </c>
      <c r="W84" s="322" t="e">
        <f>+'Zał.1_WPF_bazowy'!#REF!</f>
        <v>#REF!</v>
      </c>
      <c r="X84" s="322" t="e">
        <f>+'Zał.1_WPF_bazowy'!#REF!</f>
        <v>#REF!</v>
      </c>
      <c r="Y84" s="322" t="e">
        <f>+'Zał.1_WPF_bazowy'!#REF!</f>
        <v>#REF!</v>
      </c>
      <c r="Z84" s="322" t="e">
        <f>+'Zał.1_WPF_bazowy'!#REF!</f>
        <v>#REF!</v>
      </c>
      <c r="AA84" s="322" t="e">
        <f>+'Zał.1_WPF_bazowy'!#REF!</f>
        <v>#REF!</v>
      </c>
      <c r="AB84" s="322" t="e">
        <f>+'Zał.1_WPF_bazowy'!#REF!</f>
        <v>#REF!</v>
      </c>
      <c r="AC84" s="322" t="e">
        <f>+'Zał.1_WPF_bazowy'!#REF!</f>
        <v>#REF!</v>
      </c>
      <c r="AD84" s="322" t="e">
        <f>+'Zał.1_WPF_bazowy'!#REF!</f>
        <v>#REF!</v>
      </c>
      <c r="AE84" s="322" t="e">
        <f>+'Zał.1_WPF_bazowy'!#REF!</f>
        <v>#REF!</v>
      </c>
      <c r="AF84" s="322" t="e">
        <f>+'Zał.1_WPF_bazowy'!#REF!</f>
        <v>#REF!</v>
      </c>
      <c r="AG84" s="322" t="e">
        <f>+'Zał.1_WPF_bazowy'!#REF!</f>
        <v>#REF!</v>
      </c>
      <c r="AH84" s="322" t="e">
        <f>+'Zał.1_WPF_bazowy'!#REF!</f>
        <v>#REF!</v>
      </c>
      <c r="AI84" s="322" t="e">
        <f>+'Zał.1_WPF_bazowy'!#REF!</f>
        <v>#REF!</v>
      </c>
      <c r="AJ84" s="322" t="e">
        <f>+'Zał.1_WPF_bazowy'!#REF!</f>
        <v>#REF!</v>
      </c>
      <c r="AK84" s="322" t="e">
        <f>+'Zał.1_WPF_bazowy'!#REF!</f>
        <v>#REF!</v>
      </c>
      <c r="AL84" s="322" t="e">
        <f>+'Zał.1_WPF_bazowy'!#REF!</f>
        <v>#REF!</v>
      </c>
      <c r="AM84" s="322" t="e">
        <f>+'Zał.1_WPF_bazowy'!#REF!</f>
        <v>#REF!</v>
      </c>
      <c r="AN84" s="323" t="e">
        <f>+'Zał.1_WPF_bazowy'!#REF!</f>
        <v>#REF!</v>
      </c>
    </row>
    <row r="85" spans="1:40" ht="36" customHeight="1" outlineLevel="2">
      <c r="A85" s="48" t="s">
        <v>144</v>
      </c>
      <c r="B85" s="316"/>
      <c r="C85" s="317"/>
      <c r="D85" s="324"/>
      <c r="E85" s="316" t="s">
        <v>145</v>
      </c>
      <c r="F85" s="316"/>
      <c r="G85" s="318">
        <f>'Zał.1_WPF_bazowy'!F78</f>
        <v>0</v>
      </c>
      <c r="H85" s="319">
        <f>'Zał.1_WPF_bazowy'!G78</f>
        <v>0</v>
      </c>
      <c r="I85" s="319">
        <f>'Zał.1_WPF_bazowy'!H78</f>
        <v>0</v>
      </c>
      <c r="J85" s="320">
        <f>'Zał.1_WPF_bazowy'!I78</f>
        <v>0</v>
      </c>
      <c r="K85" s="321">
        <f>+'Zał.1_WPF_bazowy'!J78</f>
        <v>0</v>
      </c>
      <c r="L85" s="322">
        <f>+'Zał.1_WPF_bazowy'!K78</f>
        <v>0</v>
      </c>
      <c r="M85" s="322">
        <f>+'Zał.1_WPF_bazowy'!L78</f>
        <v>0</v>
      </c>
      <c r="N85" s="322">
        <f>+'Zał.1_WPF_bazowy'!M78</f>
        <v>0</v>
      </c>
      <c r="O85" s="322">
        <f>+'Zał.1_WPF_bazowy'!N78</f>
        <v>0</v>
      </c>
      <c r="P85" s="322">
        <f>+'Zał.1_WPF_bazowy'!O78</f>
        <v>0</v>
      </c>
      <c r="Q85" s="322">
        <f>+'Zał.1_WPF_bazowy'!P78</f>
        <v>0</v>
      </c>
      <c r="R85" s="322">
        <f>+'Zał.1_WPF_bazowy'!Q78</f>
        <v>0</v>
      </c>
      <c r="S85" s="322">
        <f>+'Zał.1_WPF_bazowy'!R78</f>
        <v>0</v>
      </c>
      <c r="T85" s="322">
        <f>+'Zał.1_WPF_bazowy'!S78</f>
        <v>0</v>
      </c>
      <c r="U85" s="322" t="e">
        <f>+'Zał.1_WPF_bazowy'!#REF!</f>
        <v>#REF!</v>
      </c>
      <c r="V85" s="322" t="e">
        <f>+'Zał.1_WPF_bazowy'!#REF!</f>
        <v>#REF!</v>
      </c>
      <c r="W85" s="322" t="e">
        <f>+'Zał.1_WPF_bazowy'!#REF!</f>
        <v>#REF!</v>
      </c>
      <c r="X85" s="322" t="e">
        <f>+'Zał.1_WPF_bazowy'!#REF!</f>
        <v>#REF!</v>
      </c>
      <c r="Y85" s="322" t="e">
        <f>+'Zał.1_WPF_bazowy'!#REF!</f>
        <v>#REF!</v>
      </c>
      <c r="Z85" s="322" t="e">
        <f>+'Zał.1_WPF_bazowy'!#REF!</f>
        <v>#REF!</v>
      </c>
      <c r="AA85" s="322" t="e">
        <f>+'Zał.1_WPF_bazowy'!#REF!</f>
        <v>#REF!</v>
      </c>
      <c r="AB85" s="322" t="e">
        <f>+'Zał.1_WPF_bazowy'!#REF!</f>
        <v>#REF!</v>
      </c>
      <c r="AC85" s="322" t="e">
        <f>+'Zał.1_WPF_bazowy'!#REF!</f>
        <v>#REF!</v>
      </c>
      <c r="AD85" s="322" t="e">
        <f>+'Zał.1_WPF_bazowy'!#REF!</f>
        <v>#REF!</v>
      </c>
      <c r="AE85" s="322" t="e">
        <f>+'Zał.1_WPF_bazowy'!#REF!</f>
        <v>#REF!</v>
      </c>
      <c r="AF85" s="322" t="e">
        <f>+'Zał.1_WPF_bazowy'!#REF!</f>
        <v>#REF!</v>
      </c>
      <c r="AG85" s="322" t="e">
        <f>+'Zał.1_WPF_bazowy'!#REF!</f>
        <v>#REF!</v>
      </c>
      <c r="AH85" s="322" t="e">
        <f>+'Zał.1_WPF_bazowy'!#REF!</f>
        <v>#REF!</v>
      </c>
      <c r="AI85" s="322" t="e">
        <f>+'Zał.1_WPF_bazowy'!#REF!</f>
        <v>#REF!</v>
      </c>
      <c r="AJ85" s="322" t="e">
        <f>+'Zał.1_WPF_bazowy'!#REF!</f>
        <v>#REF!</v>
      </c>
      <c r="AK85" s="322" t="e">
        <f>+'Zał.1_WPF_bazowy'!#REF!</f>
        <v>#REF!</v>
      </c>
      <c r="AL85" s="322" t="e">
        <f>+'Zał.1_WPF_bazowy'!#REF!</f>
        <v>#REF!</v>
      </c>
      <c r="AM85" s="322" t="e">
        <f>+'Zał.1_WPF_bazowy'!#REF!</f>
        <v>#REF!</v>
      </c>
      <c r="AN85" s="323" t="e">
        <f>+'Zał.1_WPF_bazowy'!#REF!</f>
        <v>#REF!</v>
      </c>
    </row>
    <row r="86" spans="1:40" ht="24" customHeight="1" outlineLevel="2">
      <c r="A86" s="48" t="s">
        <v>146</v>
      </c>
      <c r="B86" s="316"/>
      <c r="C86" s="317"/>
      <c r="D86" s="316" t="s">
        <v>147</v>
      </c>
      <c r="E86" s="316"/>
      <c r="F86" s="316"/>
      <c r="G86" s="318">
        <f>'Zał.1_WPF_bazowy'!F79</f>
        <v>0</v>
      </c>
      <c r="H86" s="319">
        <f>'Zał.1_WPF_bazowy'!G79</f>
        <v>0</v>
      </c>
      <c r="I86" s="319">
        <f>'Zał.1_WPF_bazowy'!H79</f>
        <v>0</v>
      </c>
      <c r="J86" s="320">
        <f>'Zał.1_WPF_bazowy'!I79</f>
        <v>0</v>
      </c>
      <c r="K86" s="321">
        <f>+'Zał.1_WPF_bazowy'!J79</f>
        <v>735014.91</v>
      </c>
      <c r="L86" s="322">
        <f>+'Zał.1_WPF_bazowy'!K79</f>
        <v>0</v>
      </c>
      <c r="M86" s="322">
        <f>+'Zał.1_WPF_bazowy'!L79</f>
        <v>0</v>
      </c>
      <c r="N86" s="322">
        <f>+'Zał.1_WPF_bazowy'!M79</f>
        <v>0</v>
      </c>
      <c r="O86" s="322">
        <f>+'Zał.1_WPF_bazowy'!N79</f>
        <v>0</v>
      </c>
      <c r="P86" s="322">
        <f>+'Zał.1_WPF_bazowy'!O79</f>
        <v>0</v>
      </c>
      <c r="Q86" s="322">
        <f>+'Zał.1_WPF_bazowy'!P79</f>
        <v>0</v>
      </c>
      <c r="R86" s="322">
        <f>+'Zał.1_WPF_bazowy'!Q79</f>
        <v>0</v>
      </c>
      <c r="S86" s="322">
        <f>+'Zał.1_WPF_bazowy'!R79</f>
        <v>0</v>
      </c>
      <c r="T86" s="322">
        <f>+'Zał.1_WPF_bazowy'!S79</f>
        <v>0</v>
      </c>
      <c r="U86" s="322" t="e">
        <f>+'Zał.1_WPF_bazowy'!#REF!</f>
        <v>#REF!</v>
      </c>
      <c r="V86" s="322" t="e">
        <f>+'Zał.1_WPF_bazowy'!#REF!</f>
        <v>#REF!</v>
      </c>
      <c r="W86" s="322" t="e">
        <f>+'Zał.1_WPF_bazowy'!#REF!</f>
        <v>#REF!</v>
      </c>
      <c r="X86" s="322" t="e">
        <f>+'Zał.1_WPF_bazowy'!#REF!</f>
        <v>#REF!</v>
      </c>
      <c r="Y86" s="322" t="e">
        <f>+'Zał.1_WPF_bazowy'!#REF!</f>
        <v>#REF!</v>
      </c>
      <c r="Z86" s="322" t="e">
        <f>+'Zał.1_WPF_bazowy'!#REF!</f>
        <v>#REF!</v>
      </c>
      <c r="AA86" s="322" t="e">
        <f>+'Zał.1_WPF_bazowy'!#REF!</f>
        <v>#REF!</v>
      </c>
      <c r="AB86" s="322" t="e">
        <f>+'Zał.1_WPF_bazowy'!#REF!</f>
        <v>#REF!</v>
      </c>
      <c r="AC86" s="322" t="e">
        <f>+'Zał.1_WPF_bazowy'!#REF!</f>
        <v>#REF!</v>
      </c>
      <c r="AD86" s="322" t="e">
        <f>+'Zał.1_WPF_bazowy'!#REF!</f>
        <v>#REF!</v>
      </c>
      <c r="AE86" s="322" t="e">
        <f>+'Zał.1_WPF_bazowy'!#REF!</f>
        <v>#REF!</v>
      </c>
      <c r="AF86" s="322" t="e">
        <f>+'Zał.1_WPF_bazowy'!#REF!</f>
        <v>#REF!</v>
      </c>
      <c r="AG86" s="322" t="e">
        <f>+'Zał.1_WPF_bazowy'!#REF!</f>
        <v>#REF!</v>
      </c>
      <c r="AH86" s="322" t="e">
        <f>+'Zał.1_WPF_bazowy'!#REF!</f>
        <v>#REF!</v>
      </c>
      <c r="AI86" s="322" t="e">
        <f>+'Zał.1_WPF_bazowy'!#REF!</f>
        <v>#REF!</v>
      </c>
      <c r="AJ86" s="322" t="e">
        <f>+'Zał.1_WPF_bazowy'!#REF!</f>
        <v>#REF!</v>
      </c>
      <c r="AK86" s="322" t="e">
        <f>+'Zał.1_WPF_bazowy'!#REF!</f>
        <v>#REF!</v>
      </c>
      <c r="AL86" s="322" t="e">
        <f>+'Zał.1_WPF_bazowy'!#REF!</f>
        <v>#REF!</v>
      </c>
      <c r="AM86" s="322" t="e">
        <f>+'Zał.1_WPF_bazowy'!#REF!</f>
        <v>#REF!</v>
      </c>
      <c r="AN86" s="323" t="e">
        <f>+'Zał.1_WPF_bazowy'!#REF!</f>
        <v>#REF!</v>
      </c>
    </row>
    <row r="87" spans="1:40" ht="14.25" customHeight="1" outlineLevel="2">
      <c r="A87" s="48" t="s">
        <v>148</v>
      </c>
      <c r="B87" s="316"/>
      <c r="C87" s="317"/>
      <c r="D87" s="324"/>
      <c r="E87" s="316" t="s">
        <v>149</v>
      </c>
      <c r="F87" s="316"/>
      <c r="G87" s="318">
        <f>'Zał.1_WPF_bazowy'!F80</f>
        <v>0</v>
      </c>
      <c r="H87" s="319">
        <f>'Zał.1_WPF_bazowy'!G80</f>
        <v>0</v>
      </c>
      <c r="I87" s="319">
        <f>'Zał.1_WPF_bazowy'!H80</f>
        <v>3830155.48</v>
      </c>
      <c r="J87" s="320">
        <f>'Zał.1_WPF_bazowy'!I80</f>
        <v>3360023.79</v>
      </c>
      <c r="K87" s="321">
        <f>+'Zał.1_WPF_bazowy'!J80</f>
        <v>529995.71</v>
      </c>
      <c r="L87" s="322">
        <f>+'Zał.1_WPF_bazowy'!K80</f>
        <v>0</v>
      </c>
      <c r="M87" s="322">
        <f>+'Zał.1_WPF_bazowy'!L80</f>
        <v>0</v>
      </c>
      <c r="N87" s="322">
        <f>+'Zał.1_WPF_bazowy'!M80</f>
        <v>0</v>
      </c>
      <c r="O87" s="322">
        <f>+'Zał.1_WPF_bazowy'!N80</f>
        <v>0</v>
      </c>
      <c r="P87" s="322">
        <f>+'Zał.1_WPF_bazowy'!O80</f>
        <v>0</v>
      </c>
      <c r="Q87" s="322">
        <f>+'Zał.1_WPF_bazowy'!P80</f>
        <v>0</v>
      </c>
      <c r="R87" s="322">
        <f>+'Zał.1_WPF_bazowy'!Q80</f>
        <v>0</v>
      </c>
      <c r="S87" s="322">
        <f>+'Zał.1_WPF_bazowy'!R80</f>
        <v>0</v>
      </c>
      <c r="T87" s="322">
        <f>+'Zał.1_WPF_bazowy'!S80</f>
        <v>0</v>
      </c>
      <c r="U87" s="322" t="e">
        <f>+'Zał.1_WPF_bazowy'!#REF!</f>
        <v>#REF!</v>
      </c>
      <c r="V87" s="322" t="e">
        <f>+'Zał.1_WPF_bazowy'!#REF!</f>
        <v>#REF!</v>
      </c>
      <c r="W87" s="322" t="e">
        <f>+'Zał.1_WPF_bazowy'!#REF!</f>
        <v>#REF!</v>
      </c>
      <c r="X87" s="322" t="e">
        <f>+'Zał.1_WPF_bazowy'!#REF!</f>
        <v>#REF!</v>
      </c>
      <c r="Y87" s="322" t="e">
        <f>+'Zał.1_WPF_bazowy'!#REF!</f>
        <v>#REF!</v>
      </c>
      <c r="Z87" s="322" t="e">
        <f>+'Zał.1_WPF_bazowy'!#REF!</f>
        <v>#REF!</v>
      </c>
      <c r="AA87" s="322" t="e">
        <f>+'Zał.1_WPF_bazowy'!#REF!</f>
        <v>#REF!</v>
      </c>
      <c r="AB87" s="322" t="e">
        <f>+'Zał.1_WPF_bazowy'!#REF!</f>
        <v>#REF!</v>
      </c>
      <c r="AC87" s="322" t="e">
        <f>+'Zał.1_WPF_bazowy'!#REF!</f>
        <v>#REF!</v>
      </c>
      <c r="AD87" s="322" t="e">
        <f>+'Zał.1_WPF_bazowy'!#REF!</f>
        <v>#REF!</v>
      </c>
      <c r="AE87" s="322" t="e">
        <f>+'Zał.1_WPF_bazowy'!#REF!</f>
        <v>#REF!</v>
      </c>
      <c r="AF87" s="322" t="e">
        <f>+'Zał.1_WPF_bazowy'!#REF!</f>
        <v>#REF!</v>
      </c>
      <c r="AG87" s="322" t="e">
        <f>+'Zał.1_WPF_bazowy'!#REF!</f>
        <v>#REF!</v>
      </c>
      <c r="AH87" s="322" t="e">
        <f>+'Zał.1_WPF_bazowy'!#REF!</f>
        <v>#REF!</v>
      </c>
      <c r="AI87" s="322" t="e">
        <f>+'Zał.1_WPF_bazowy'!#REF!</f>
        <v>#REF!</v>
      </c>
      <c r="AJ87" s="322" t="e">
        <f>+'Zał.1_WPF_bazowy'!#REF!</f>
        <v>#REF!</v>
      </c>
      <c r="AK87" s="322" t="e">
        <f>+'Zał.1_WPF_bazowy'!#REF!</f>
        <v>#REF!</v>
      </c>
      <c r="AL87" s="322" t="e">
        <f>+'Zał.1_WPF_bazowy'!#REF!</f>
        <v>#REF!</v>
      </c>
      <c r="AM87" s="322" t="e">
        <f>+'Zał.1_WPF_bazowy'!#REF!</f>
        <v>#REF!</v>
      </c>
      <c r="AN87" s="323" t="e">
        <f>+'Zał.1_WPF_bazowy'!#REF!</f>
        <v>#REF!</v>
      </c>
    </row>
    <row r="88" spans="1:40" ht="36" customHeight="1" outlineLevel="2">
      <c r="A88" s="48" t="s">
        <v>150</v>
      </c>
      <c r="B88" s="316"/>
      <c r="C88" s="317"/>
      <c r="D88" s="324"/>
      <c r="E88" s="316" t="s">
        <v>151</v>
      </c>
      <c r="F88" s="316"/>
      <c r="G88" s="318">
        <f>'Zał.1_WPF_bazowy'!F81</f>
        <v>0</v>
      </c>
      <c r="H88" s="319">
        <f>'Zał.1_WPF_bazowy'!G81</f>
        <v>0</v>
      </c>
      <c r="I88" s="319">
        <f>'Zał.1_WPF_bazowy'!H81</f>
        <v>0</v>
      </c>
      <c r="J88" s="320">
        <f>'Zał.1_WPF_bazowy'!I81</f>
        <v>0</v>
      </c>
      <c r="K88" s="321">
        <f>+'Zał.1_WPF_bazowy'!J81</f>
        <v>0</v>
      </c>
      <c r="L88" s="322">
        <f>+'Zał.1_WPF_bazowy'!K81</f>
        <v>0</v>
      </c>
      <c r="M88" s="322">
        <f>+'Zał.1_WPF_bazowy'!L81</f>
        <v>0</v>
      </c>
      <c r="N88" s="322">
        <f>+'Zał.1_WPF_bazowy'!M81</f>
        <v>0</v>
      </c>
      <c r="O88" s="322">
        <f>+'Zał.1_WPF_bazowy'!N81</f>
        <v>0</v>
      </c>
      <c r="P88" s="322">
        <f>+'Zał.1_WPF_bazowy'!O81</f>
        <v>0</v>
      </c>
      <c r="Q88" s="322">
        <f>+'Zał.1_WPF_bazowy'!P81</f>
        <v>0</v>
      </c>
      <c r="R88" s="322">
        <f>+'Zał.1_WPF_bazowy'!Q81</f>
        <v>0</v>
      </c>
      <c r="S88" s="322">
        <f>+'Zał.1_WPF_bazowy'!R81</f>
        <v>0</v>
      </c>
      <c r="T88" s="322">
        <f>+'Zał.1_WPF_bazowy'!S81</f>
        <v>0</v>
      </c>
      <c r="U88" s="322" t="e">
        <f>+'Zał.1_WPF_bazowy'!#REF!</f>
        <v>#REF!</v>
      </c>
      <c r="V88" s="322" t="e">
        <f>+'Zał.1_WPF_bazowy'!#REF!</f>
        <v>#REF!</v>
      </c>
      <c r="W88" s="322" t="e">
        <f>+'Zał.1_WPF_bazowy'!#REF!</f>
        <v>#REF!</v>
      </c>
      <c r="X88" s="322" t="e">
        <f>+'Zał.1_WPF_bazowy'!#REF!</f>
        <v>#REF!</v>
      </c>
      <c r="Y88" s="322" t="e">
        <f>+'Zał.1_WPF_bazowy'!#REF!</f>
        <v>#REF!</v>
      </c>
      <c r="Z88" s="322" t="e">
        <f>+'Zał.1_WPF_bazowy'!#REF!</f>
        <v>#REF!</v>
      </c>
      <c r="AA88" s="322" t="e">
        <f>+'Zał.1_WPF_bazowy'!#REF!</f>
        <v>#REF!</v>
      </c>
      <c r="AB88" s="322" t="e">
        <f>+'Zał.1_WPF_bazowy'!#REF!</f>
        <v>#REF!</v>
      </c>
      <c r="AC88" s="322" t="e">
        <f>+'Zał.1_WPF_bazowy'!#REF!</f>
        <v>#REF!</v>
      </c>
      <c r="AD88" s="322" t="e">
        <f>+'Zał.1_WPF_bazowy'!#REF!</f>
        <v>#REF!</v>
      </c>
      <c r="AE88" s="322" t="e">
        <f>+'Zał.1_WPF_bazowy'!#REF!</f>
        <v>#REF!</v>
      </c>
      <c r="AF88" s="322" t="e">
        <f>+'Zał.1_WPF_bazowy'!#REF!</f>
        <v>#REF!</v>
      </c>
      <c r="AG88" s="322" t="e">
        <f>+'Zał.1_WPF_bazowy'!#REF!</f>
        <v>#REF!</v>
      </c>
      <c r="AH88" s="322" t="e">
        <f>+'Zał.1_WPF_bazowy'!#REF!</f>
        <v>#REF!</v>
      </c>
      <c r="AI88" s="322" t="e">
        <f>+'Zał.1_WPF_bazowy'!#REF!</f>
        <v>#REF!</v>
      </c>
      <c r="AJ88" s="322" t="e">
        <f>+'Zał.1_WPF_bazowy'!#REF!</f>
        <v>#REF!</v>
      </c>
      <c r="AK88" s="322" t="e">
        <f>+'Zał.1_WPF_bazowy'!#REF!</f>
        <v>#REF!</v>
      </c>
      <c r="AL88" s="322" t="e">
        <f>+'Zał.1_WPF_bazowy'!#REF!</f>
        <v>#REF!</v>
      </c>
      <c r="AM88" s="322" t="e">
        <f>+'Zał.1_WPF_bazowy'!#REF!</f>
        <v>#REF!</v>
      </c>
      <c r="AN88" s="323" t="e">
        <f>+'Zał.1_WPF_bazowy'!#REF!</f>
        <v>#REF!</v>
      </c>
    </row>
    <row r="89" spans="1:40" s="315" customFormat="1" ht="24" customHeight="1" outlineLevel="1">
      <c r="A89" s="307">
        <v>13</v>
      </c>
      <c r="B89" s="308"/>
      <c r="C89" s="309" t="s">
        <v>152</v>
      </c>
      <c r="D89" s="309"/>
      <c r="E89" s="309"/>
      <c r="F89" s="309"/>
      <c r="G89" s="341" t="s">
        <v>39</v>
      </c>
      <c r="H89" s="342" t="s">
        <v>39</v>
      </c>
      <c r="I89" s="342" t="s">
        <v>39</v>
      </c>
      <c r="J89" s="343" t="s">
        <v>39</v>
      </c>
      <c r="K89" s="344" t="s">
        <v>39</v>
      </c>
      <c r="L89" s="345" t="s">
        <v>39</v>
      </c>
      <c r="M89" s="345" t="s">
        <v>39</v>
      </c>
      <c r="N89" s="345" t="s">
        <v>39</v>
      </c>
      <c r="O89" s="345" t="s">
        <v>39</v>
      </c>
      <c r="P89" s="345" t="s">
        <v>39</v>
      </c>
      <c r="Q89" s="345" t="s">
        <v>39</v>
      </c>
      <c r="R89" s="345" t="s">
        <v>39</v>
      </c>
      <c r="S89" s="345" t="s">
        <v>39</v>
      </c>
      <c r="T89" s="345" t="s">
        <v>39</v>
      </c>
      <c r="U89" s="345" t="s">
        <v>39</v>
      </c>
      <c r="V89" s="345" t="s">
        <v>39</v>
      </c>
      <c r="W89" s="345" t="s">
        <v>39</v>
      </c>
      <c r="X89" s="345" t="s">
        <v>39</v>
      </c>
      <c r="Y89" s="345" t="s">
        <v>39</v>
      </c>
      <c r="Z89" s="345" t="s">
        <v>39</v>
      </c>
      <c r="AA89" s="345" t="s">
        <v>39</v>
      </c>
      <c r="AB89" s="345" t="s">
        <v>39</v>
      </c>
      <c r="AC89" s="345" t="s">
        <v>39</v>
      </c>
      <c r="AD89" s="345" t="s">
        <v>39</v>
      </c>
      <c r="AE89" s="345" t="s">
        <v>39</v>
      </c>
      <c r="AF89" s="345" t="s">
        <v>39</v>
      </c>
      <c r="AG89" s="345" t="s">
        <v>39</v>
      </c>
      <c r="AH89" s="345" t="s">
        <v>39</v>
      </c>
      <c r="AI89" s="345" t="s">
        <v>39</v>
      </c>
      <c r="AJ89" s="345" t="s">
        <v>39</v>
      </c>
      <c r="AK89" s="345" t="s">
        <v>39</v>
      </c>
      <c r="AL89" s="345" t="s">
        <v>39</v>
      </c>
      <c r="AM89" s="345" t="s">
        <v>39</v>
      </c>
      <c r="AN89" s="346" t="s">
        <v>39</v>
      </c>
    </row>
    <row r="90" spans="1:40" ht="36" customHeight="1" outlineLevel="2">
      <c r="A90" s="48" t="s">
        <v>153</v>
      </c>
      <c r="B90" s="316"/>
      <c r="C90" s="317"/>
      <c r="D90" s="316" t="s">
        <v>154</v>
      </c>
      <c r="E90" s="316"/>
      <c r="F90" s="316"/>
      <c r="G90" s="318">
        <f>'Zał.1_WPF_bazowy'!F83</f>
        <v>0</v>
      </c>
      <c r="H90" s="319">
        <f>'Zał.1_WPF_bazowy'!G83</f>
        <v>0</v>
      </c>
      <c r="I90" s="319">
        <f>'Zał.1_WPF_bazowy'!H83</f>
        <v>0</v>
      </c>
      <c r="J90" s="320">
        <f>'Zał.1_WPF_bazowy'!I83</f>
        <v>0</v>
      </c>
      <c r="K90" s="358">
        <f>+IF(K10&lt;&gt;0,J90-(K92+K93+K94+K95),0)</f>
        <v>0</v>
      </c>
      <c r="L90" s="359">
        <f aca="true" t="shared" si="21" ref="L90:AN90">+IF(L10&lt;&gt;0,K90-(L92+L93+L94+L95),0)</f>
        <v>0</v>
      </c>
      <c r="M90" s="359">
        <f t="shared" si="21"/>
        <v>0</v>
      </c>
      <c r="N90" s="359">
        <f t="shared" si="21"/>
        <v>0</v>
      </c>
      <c r="O90" s="359">
        <f t="shared" si="21"/>
        <v>0</v>
      </c>
      <c r="P90" s="359">
        <f t="shared" si="21"/>
        <v>0</v>
      </c>
      <c r="Q90" s="359">
        <f t="shared" si="21"/>
        <v>0</v>
      </c>
      <c r="R90" s="359">
        <f t="shared" si="21"/>
        <v>0</v>
      </c>
      <c r="S90" s="359">
        <f t="shared" si="21"/>
        <v>0</v>
      </c>
      <c r="T90" s="359">
        <f t="shared" si="21"/>
        <v>0</v>
      </c>
      <c r="U90" s="359" t="e">
        <f t="shared" si="21"/>
        <v>#REF!</v>
      </c>
      <c r="V90" s="359" t="e">
        <f t="shared" si="21"/>
        <v>#REF!</v>
      </c>
      <c r="W90" s="359" t="e">
        <f t="shared" si="21"/>
        <v>#REF!</v>
      </c>
      <c r="X90" s="359" t="e">
        <f t="shared" si="21"/>
        <v>#REF!</v>
      </c>
      <c r="Y90" s="359" t="e">
        <f t="shared" si="21"/>
        <v>#REF!</v>
      </c>
      <c r="Z90" s="359" t="e">
        <f t="shared" si="21"/>
        <v>#REF!</v>
      </c>
      <c r="AA90" s="359" t="e">
        <f t="shared" si="21"/>
        <v>#REF!</v>
      </c>
      <c r="AB90" s="359" t="e">
        <f t="shared" si="21"/>
        <v>#REF!</v>
      </c>
      <c r="AC90" s="359" t="e">
        <f t="shared" si="21"/>
        <v>#REF!</v>
      </c>
      <c r="AD90" s="359" t="e">
        <f t="shared" si="21"/>
        <v>#REF!</v>
      </c>
      <c r="AE90" s="359" t="e">
        <f t="shared" si="21"/>
        <v>#REF!</v>
      </c>
      <c r="AF90" s="359" t="e">
        <f t="shared" si="21"/>
        <v>#REF!</v>
      </c>
      <c r="AG90" s="359" t="e">
        <f t="shared" si="21"/>
        <v>#REF!</v>
      </c>
      <c r="AH90" s="359" t="e">
        <f t="shared" si="21"/>
        <v>#REF!</v>
      </c>
      <c r="AI90" s="359" t="e">
        <f t="shared" si="21"/>
        <v>#REF!</v>
      </c>
      <c r="AJ90" s="359" t="e">
        <f t="shared" si="21"/>
        <v>#REF!</v>
      </c>
      <c r="AK90" s="359" t="e">
        <f t="shared" si="21"/>
        <v>#REF!</v>
      </c>
      <c r="AL90" s="359" t="e">
        <f t="shared" si="21"/>
        <v>#REF!</v>
      </c>
      <c r="AM90" s="359" t="e">
        <f t="shared" si="21"/>
        <v>#REF!</v>
      </c>
      <c r="AN90" s="360" t="e">
        <f t="shared" si="21"/>
        <v>#REF!</v>
      </c>
    </row>
    <row r="91" spans="1:40" ht="36" customHeight="1" outlineLevel="2">
      <c r="A91" s="48" t="s">
        <v>155</v>
      </c>
      <c r="B91" s="316"/>
      <c r="C91" s="317"/>
      <c r="D91" s="316" t="s">
        <v>156</v>
      </c>
      <c r="E91" s="316"/>
      <c r="F91" s="316"/>
      <c r="G91" s="318">
        <f>'Zał.1_WPF_bazowy'!F84</f>
        <v>0</v>
      </c>
      <c r="H91" s="319">
        <f>'Zał.1_WPF_bazowy'!G84</f>
        <v>0</v>
      </c>
      <c r="I91" s="319">
        <f>'Zał.1_WPF_bazowy'!H84</f>
        <v>0</v>
      </c>
      <c r="J91" s="320">
        <f>'Zał.1_WPF_bazowy'!I84</f>
        <v>0</v>
      </c>
      <c r="K91" s="321">
        <f>+'Zał.1_WPF_bazowy'!J84</f>
        <v>0</v>
      </c>
      <c r="L91" s="322">
        <f>+'Zał.1_WPF_bazowy'!K84</f>
        <v>0</v>
      </c>
      <c r="M91" s="322">
        <f>+'Zał.1_WPF_bazowy'!L84</f>
        <v>0</v>
      </c>
      <c r="N91" s="322">
        <f>+'Zał.1_WPF_bazowy'!M84</f>
        <v>0</v>
      </c>
      <c r="O91" s="322">
        <f>+'Zał.1_WPF_bazowy'!N84</f>
        <v>0</v>
      </c>
      <c r="P91" s="322">
        <f>+'Zał.1_WPF_bazowy'!O84</f>
        <v>0</v>
      </c>
      <c r="Q91" s="322">
        <f>+'Zał.1_WPF_bazowy'!P84</f>
        <v>0</v>
      </c>
      <c r="R91" s="322">
        <f>+'Zał.1_WPF_bazowy'!Q84</f>
        <v>0</v>
      </c>
      <c r="S91" s="322">
        <f>+'Zał.1_WPF_bazowy'!R84</f>
        <v>0</v>
      </c>
      <c r="T91" s="322">
        <f>+'Zał.1_WPF_bazowy'!S84</f>
        <v>0</v>
      </c>
      <c r="U91" s="322" t="e">
        <f>+'Zał.1_WPF_bazowy'!#REF!</f>
        <v>#REF!</v>
      </c>
      <c r="V91" s="322" t="e">
        <f>+'Zał.1_WPF_bazowy'!#REF!</f>
        <v>#REF!</v>
      </c>
      <c r="W91" s="322" t="e">
        <f>+'Zał.1_WPF_bazowy'!#REF!</f>
        <v>#REF!</v>
      </c>
      <c r="X91" s="322" t="e">
        <f>+'Zał.1_WPF_bazowy'!#REF!</f>
        <v>#REF!</v>
      </c>
      <c r="Y91" s="322" t="e">
        <f>+'Zał.1_WPF_bazowy'!#REF!</f>
        <v>#REF!</v>
      </c>
      <c r="Z91" s="322" t="e">
        <f>+'Zał.1_WPF_bazowy'!#REF!</f>
        <v>#REF!</v>
      </c>
      <c r="AA91" s="322" t="e">
        <f>+'Zał.1_WPF_bazowy'!#REF!</f>
        <v>#REF!</v>
      </c>
      <c r="AB91" s="322" t="e">
        <f>+'Zał.1_WPF_bazowy'!#REF!</f>
        <v>#REF!</v>
      </c>
      <c r="AC91" s="322" t="e">
        <f>+'Zał.1_WPF_bazowy'!#REF!</f>
        <v>#REF!</v>
      </c>
      <c r="AD91" s="322" t="e">
        <f>+'Zał.1_WPF_bazowy'!#REF!</f>
        <v>#REF!</v>
      </c>
      <c r="AE91" s="322" t="e">
        <f>+'Zał.1_WPF_bazowy'!#REF!</f>
        <v>#REF!</v>
      </c>
      <c r="AF91" s="322" t="e">
        <f>+'Zał.1_WPF_bazowy'!#REF!</f>
        <v>#REF!</v>
      </c>
      <c r="AG91" s="322" t="e">
        <f>+'Zał.1_WPF_bazowy'!#REF!</f>
        <v>#REF!</v>
      </c>
      <c r="AH91" s="322" t="e">
        <f>+'Zał.1_WPF_bazowy'!#REF!</f>
        <v>#REF!</v>
      </c>
      <c r="AI91" s="322" t="e">
        <f>+'Zał.1_WPF_bazowy'!#REF!</f>
        <v>#REF!</v>
      </c>
      <c r="AJ91" s="322" t="e">
        <f>+'Zał.1_WPF_bazowy'!#REF!</f>
        <v>#REF!</v>
      </c>
      <c r="AK91" s="322" t="e">
        <f>+'Zał.1_WPF_bazowy'!#REF!</f>
        <v>#REF!</v>
      </c>
      <c r="AL91" s="322" t="e">
        <f>+'Zał.1_WPF_bazowy'!#REF!</f>
        <v>#REF!</v>
      </c>
      <c r="AM91" s="322" t="e">
        <f>+'Zał.1_WPF_bazowy'!#REF!</f>
        <v>#REF!</v>
      </c>
      <c r="AN91" s="323" t="e">
        <f>+'Zał.1_WPF_bazowy'!#REF!</f>
        <v>#REF!</v>
      </c>
    </row>
    <row r="92" spans="1:40" ht="24" customHeight="1" outlineLevel="2">
      <c r="A92" s="48" t="s">
        <v>157</v>
      </c>
      <c r="B92" s="316"/>
      <c r="C92" s="317"/>
      <c r="D92" s="316" t="s">
        <v>158</v>
      </c>
      <c r="E92" s="316"/>
      <c r="F92" s="316"/>
      <c r="G92" s="318">
        <f>'Zał.1_WPF_bazowy'!F85</f>
        <v>0</v>
      </c>
      <c r="H92" s="319">
        <f>'Zał.1_WPF_bazowy'!G85</f>
        <v>0</v>
      </c>
      <c r="I92" s="319">
        <f>'Zał.1_WPF_bazowy'!H85</f>
        <v>0</v>
      </c>
      <c r="J92" s="320">
        <f>'Zał.1_WPF_bazowy'!I85</f>
        <v>0</v>
      </c>
      <c r="K92" s="321">
        <f>+'Zał.1_WPF_bazowy'!J85</f>
        <v>0</v>
      </c>
      <c r="L92" s="322">
        <f>+'Zał.1_WPF_bazowy'!K85</f>
        <v>0</v>
      </c>
      <c r="M92" s="322">
        <f>+'Zał.1_WPF_bazowy'!L85</f>
        <v>0</v>
      </c>
      <c r="N92" s="322">
        <f>+'Zał.1_WPF_bazowy'!M85</f>
        <v>0</v>
      </c>
      <c r="O92" s="322">
        <f>+'Zał.1_WPF_bazowy'!N85</f>
        <v>0</v>
      </c>
      <c r="P92" s="322">
        <f>+'Zał.1_WPF_bazowy'!O85</f>
        <v>0</v>
      </c>
      <c r="Q92" s="322">
        <f>+'Zał.1_WPF_bazowy'!P85</f>
        <v>0</v>
      </c>
      <c r="R92" s="322">
        <f>+'Zał.1_WPF_bazowy'!Q85</f>
        <v>0</v>
      </c>
      <c r="S92" s="322">
        <f>+'Zał.1_WPF_bazowy'!R85</f>
        <v>0</v>
      </c>
      <c r="T92" s="322">
        <f>+'Zał.1_WPF_bazowy'!S85</f>
        <v>0</v>
      </c>
      <c r="U92" s="322" t="e">
        <f>+'Zał.1_WPF_bazowy'!#REF!</f>
        <v>#REF!</v>
      </c>
      <c r="V92" s="322" t="e">
        <f>+'Zał.1_WPF_bazowy'!#REF!</f>
        <v>#REF!</v>
      </c>
      <c r="W92" s="322" t="e">
        <f>+'Zał.1_WPF_bazowy'!#REF!</f>
        <v>#REF!</v>
      </c>
      <c r="X92" s="322" t="e">
        <f>+'Zał.1_WPF_bazowy'!#REF!</f>
        <v>#REF!</v>
      </c>
      <c r="Y92" s="322" t="e">
        <f>+'Zał.1_WPF_bazowy'!#REF!</f>
        <v>#REF!</v>
      </c>
      <c r="Z92" s="322" t="e">
        <f>+'Zał.1_WPF_bazowy'!#REF!</f>
        <v>#REF!</v>
      </c>
      <c r="AA92" s="322" t="e">
        <f>+'Zał.1_WPF_bazowy'!#REF!</f>
        <v>#REF!</v>
      </c>
      <c r="AB92" s="322" t="e">
        <f>+'Zał.1_WPF_bazowy'!#REF!</f>
        <v>#REF!</v>
      </c>
      <c r="AC92" s="322" t="e">
        <f>+'Zał.1_WPF_bazowy'!#REF!</f>
        <v>#REF!</v>
      </c>
      <c r="AD92" s="322" t="e">
        <f>+'Zał.1_WPF_bazowy'!#REF!</f>
        <v>#REF!</v>
      </c>
      <c r="AE92" s="322" t="e">
        <f>+'Zał.1_WPF_bazowy'!#REF!</f>
        <v>#REF!</v>
      </c>
      <c r="AF92" s="322" t="e">
        <f>+'Zał.1_WPF_bazowy'!#REF!</f>
        <v>#REF!</v>
      </c>
      <c r="AG92" s="322" t="e">
        <f>+'Zał.1_WPF_bazowy'!#REF!</f>
        <v>#REF!</v>
      </c>
      <c r="AH92" s="322" t="e">
        <f>+'Zał.1_WPF_bazowy'!#REF!</f>
        <v>#REF!</v>
      </c>
      <c r="AI92" s="322" t="e">
        <f>+'Zał.1_WPF_bazowy'!#REF!</f>
        <v>#REF!</v>
      </c>
      <c r="AJ92" s="322" t="e">
        <f>+'Zał.1_WPF_bazowy'!#REF!</f>
        <v>#REF!</v>
      </c>
      <c r="AK92" s="322" t="e">
        <f>+'Zał.1_WPF_bazowy'!#REF!</f>
        <v>#REF!</v>
      </c>
      <c r="AL92" s="322" t="e">
        <f>+'Zał.1_WPF_bazowy'!#REF!</f>
        <v>#REF!</v>
      </c>
      <c r="AM92" s="322" t="e">
        <f>+'Zał.1_WPF_bazowy'!#REF!</f>
        <v>#REF!</v>
      </c>
      <c r="AN92" s="323" t="e">
        <f>+'Zał.1_WPF_bazowy'!#REF!</f>
        <v>#REF!</v>
      </c>
    </row>
    <row r="93" spans="1:40" ht="36" customHeight="1" outlineLevel="2">
      <c r="A93" s="48" t="s">
        <v>159</v>
      </c>
      <c r="B93" s="316"/>
      <c r="C93" s="317"/>
      <c r="D93" s="316" t="s">
        <v>160</v>
      </c>
      <c r="E93" s="316"/>
      <c r="F93" s="316"/>
      <c r="G93" s="318">
        <f>'Zał.1_WPF_bazowy'!F86</f>
        <v>0</v>
      </c>
      <c r="H93" s="319">
        <f>'Zał.1_WPF_bazowy'!G86</f>
        <v>0</v>
      </c>
      <c r="I93" s="319">
        <f>'Zał.1_WPF_bazowy'!H86</f>
        <v>0</v>
      </c>
      <c r="J93" s="320">
        <f>'Zał.1_WPF_bazowy'!I86</f>
        <v>0</v>
      </c>
      <c r="K93" s="321">
        <f>+'Zał.1_WPF_bazowy'!J86</f>
        <v>0</v>
      </c>
      <c r="L93" s="322">
        <f>+'Zał.1_WPF_bazowy'!K86</f>
        <v>0</v>
      </c>
      <c r="M93" s="322">
        <f>+'Zał.1_WPF_bazowy'!L86</f>
        <v>0</v>
      </c>
      <c r="N93" s="322">
        <f>+'Zał.1_WPF_bazowy'!M86</f>
        <v>0</v>
      </c>
      <c r="O93" s="322">
        <f>+'Zał.1_WPF_bazowy'!N86</f>
        <v>0</v>
      </c>
      <c r="P93" s="322">
        <f>+'Zał.1_WPF_bazowy'!O86</f>
        <v>0</v>
      </c>
      <c r="Q93" s="322">
        <f>+'Zał.1_WPF_bazowy'!P86</f>
        <v>0</v>
      </c>
      <c r="R93" s="322">
        <f>+'Zał.1_WPF_bazowy'!Q86</f>
        <v>0</v>
      </c>
      <c r="S93" s="322">
        <f>+'Zał.1_WPF_bazowy'!R86</f>
        <v>0</v>
      </c>
      <c r="T93" s="322">
        <f>+'Zał.1_WPF_bazowy'!S86</f>
        <v>0</v>
      </c>
      <c r="U93" s="322" t="e">
        <f>+'Zał.1_WPF_bazowy'!#REF!</f>
        <v>#REF!</v>
      </c>
      <c r="V93" s="322" t="e">
        <f>+'Zał.1_WPF_bazowy'!#REF!</f>
        <v>#REF!</v>
      </c>
      <c r="W93" s="322" t="e">
        <f>+'Zał.1_WPF_bazowy'!#REF!</f>
        <v>#REF!</v>
      </c>
      <c r="X93" s="322" t="e">
        <f>+'Zał.1_WPF_bazowy'!#REF!</f>
        <v>#REF!</v>
      </c>
      <c r="Y93" s="322" t="e">
        <f>+'Zał.1_WPF_bazowy'!#REF!</f>
        <v>#REF!</v>
      </c>
      <c r="Z93" s="322" t="e">
        <f>+'Zał.1_WPF_bazowy'!#REF!</f>
        <v>#REF!</v>
      </c>
      <c r="AA93" s="322" t="e">
        <f>+'Zał.1_WPF_bazowy'!#REF!</f>
        <v>#REF!</v>
      </c>
      <c r="AB93" s="322" t="e">
        <f>+'Zał.1_WPF_bazowy'!#REF!</f>
        <v>#REF!</v>
      </c>
      <c r="AC93" s="322" t="e">
        <f>+'Zał.1_WPF_bazowy'!#REF!</f>
        <v>#REF!</v>
      </c>
      <c r="AD93" s="322" t="e">
        <f>+'Zał.1_WPF_bazowy'!#REF!</f>
        <v>#REF!</v>
      </c>
      <c r="AE93" s="322" t="e">
        <f>+'Zał.1_WPF_bazowy'!#REF!</f>
        <v>#REF!</v>
      </c>
      <c r="AF93" s="322" t="e">
        <f>+'Zał.1_WPF_bazowy'!#REF!</f>
        <v>#REF!</v>
      </c>
      <c r="AG93" s="322" t="e">
        <f>+'Zał.1_WPF_bazowy'!#REF!</f>
        <v>#REF!</v>
      </c>
      <c r="AH93" s="322" t="e">
        <f>+'Zał.1_WPF_bazowy'!#REF!</f>
        <v>#REF!</v>
      </c>
      <c r="AI93" s="322" t="e">
        <f>+'Zał.1_WPF_bazowy'!#REF!</f>
        <v>#REF!</v>
      </c>
      <c r="AJ93" s="322" t="e">
        <f>+'Zał.1_WPF_bazowy'!#REF!</f>
        <v>#REF!</v>
      </c>
      <c r="AK93" s="322" t="e">
        <f>+'Zał.1_WPF_bazowy'!#REF!</f>
        <v>#REF!</v>
      </c>
      <c r="AL93" s="322" t="e">
        <f>+'Zał.1_WPF_bazowy'!#REF!</f>
        <v>#REF!</v>
      </c>
      <c r="AM93" s="322" t="e">
        <f>+'Zał.1_WPF_bazowy'!#REF!</f>
        <v>#REF!</v>
      </c>
      <c r="AN93" s="323" t="e">
        <f>+'Zał.1_WPF_bazowy'!#REF!</f>
        <v>#REF!</v>
      </c>
    </row>
    <row r="94" spans="1:40" ht="36" customHeight="1" outlineLevel="2">
      <c r="A94" s="48" t="s">
        <v>161</v>
      </c>
      <c r="B94" s="316"/>
      <c r="C94" s="317"/>
      <c r="D94" s="316" t="s">
        <v>162</v>
      </c>
      <c r="E94" s="316"/>
      <c r="F94" s="316"/>
      <c r="G94" s="318">
        <f>'Zał.1_WPF_bazowy'!F87</f>
        <v>0</v>
      </c>
      <c r="H94" s="319">
        <f>'Zał.1_WPF_bazowy'!G87</f>
        <v>0</v>
      </c>
      <c r="I94" s="319">
        <f>'Zał.1_WPF_bazowy'!H87</f>
        <v>0</v>
      </c>
      <c r="J94" s="320">
        <f>'Zał.1_WPF_bazowy'!I87</f>
        <v>0</v>
      </c>
      <c r="K94" s="321">
        <f>+'Zał.1_WPF_bazowy'!J87</f>
        <v>0</v>
      </c>
      <c r="L94" s="322">
        <f>+'Zał.1_WPF_bazowy'!K87</f>
        <v>0</v>
      </c>
      <c r="M94" s="322">
        <f>+'Zał.1_WPF_bazowy'!L87</f>
        <v>0</v>
      </c>
      <c r="N94" s="322">
        <f>+'Zał.1_WPF_bazowy'!M87</f>
        <v>0</v>
      </c>
      <c r="O94" s="322">
        <f>+'Zał.1_WPF_bazowy'!N87</f>
        <v>0</v>
      </c>
      <c r="P94" s="322">
        <f>+'Zał.1_WPF_bazowy'!O87</f>
        <v>0</v>
      </c>
      <c r="Q94" s="322">
        <f>+'Zał.1_WPF_bazowy'!P87</f>
        <v>0</v>
      </c>
      <c r="R94" s="322">
        <f>+'Zał.1_WPF_bazowy'!Q87</f>
        <v>0</v>
      </c>
      <c r="S94" s="322">
        <f>+'Zał.1_WPF_bazowy'!R87</f>
        <v>0</v>
      </c>
      <c r="T94" s="322">
        <f>+'Zał.1_WPF_bazowy'!S87</f>
        <v>0</v>
      </c>
      <c r="U94" s="322" t="e">
        <f>+'Zał.1_WPF_bazowy'!#REF!</f>
        <v>#REF!</v>
      </c>
      <c r="V94" s="322" t="e">
        <f>+'Zał.1_WPF_bazowy'!#REF!</f>
        <v>#REF!</v>
      </c>
      <c r="W94" s="322" t="e">
        <f>+'Zał.1_WPF_bazowy'!#REF!</f>
        <v>#REF!</v>
      </c>
      <c r="X94" s="322" t="e">
        <f>+'Zał.1_WPF_bazowy'!#REF!</f>
        <v>#REF!</v>
      </c>
      <c r="Y94" s="322" t="e">
        <f>+'Zał.1_WPF_bazowy'!#REF!</f>
        <v>#REF!</v>
      </c>
      <c r="Z94" s="322" t="e">
        <f>+'Zał.1_WPF_bazowy'!#REF!</f>
        <v>#REF!</v>
      </c>
      <c r="AA94" s="322" t="e">
        <f>+'Zał.1_WPF_bazowy'!#REF!</f>
        <v>#REF!</v>
      </c>
      <c r="AB94" s="322" t="e">
        <f>+'Zał.1_WPF_bazowy'!#REF!</f>
        <v>#REF!</v>
      </c>
      <c r="AC94" s="322" t="e">
        <f>+'Zał.1_WPF_bazowy'!#REF!</f>
        <v>#REF!</v>
      </c>
      <c r="AD94" s="322" t="e">
        <f>+'Zał.1_WPF_bazowy'!#REF!</f>
        <v>#REF!</v>
      </c>
      <c r="AE94" s="322" t="e">
        <f>+'Zał.1_WPF_bazowy'!#REF!</f>
        <v>#REF!</v>
      </c>
      <c r="AF94" s="322" t="e">
        <f>+'Zał.1_WPF_bazowy'!#REF!</f>
        <v>#REF!</v>
      </c>
      <c r="AG94" s="322" t="e">
        <f>+'Zał.1_WPF_bazowy'!#REF!</f>
        <v>#REF!</v>
      </c>
      <c r="AH94" s="322" t="e">
        <f>+'Zał.1_WPF_bazowy'!#REF!</f>
        <v>#REF!</v>
      </c>
      <c r="AI94" s="322" t="e">
        <f>+'Zał.1_WPF_bazowy'!#REF!</f>
        <v>#REF!</v>
      </c>
      <c r="AJ94" s="322" t="e">
        <f>+'Zał.1_WPF_bazowy'!#REF!</f>
        <v>#REF!</v>
      </c>
      <c r="AK94" s="322" t="e">
        <f>+'Zał.1_WPF_bazowy'!#REF!</f>
        <v>#REF!</v>
      </c>
      <c r="AL94" s="322" t="e">
        <f>+'Zał.1_WPF_bazowy'!#REF!</f>
        <v>#REF!</v>
      </c>
      <c r="AM94" s="322" t="e">
        <f>+'Zał.1_WPF_bazowy'!#REF!</f>
        <v>#REF!</v>
      </c>
      <c r="AN94" s="323" t="e">
        <f>+'Zał.1_WPF_bazowy'!#REF!</f>
        <v>#REF!</v>
      </c>
    </row>
    <row r="95" spans="1:40" ht="36" customHeight="1" outlineLevel="2">
      <c r="A95" s="48" t="s">
        <v>163</v>
      </c>
      <c r="B95" s="316"/>
      <c r="C95" s="317"/>
      <c r="D95" s="316" t="s">
        <v>164</v>
      </c>
      <c r="E95" s="316"/>
      <c r="F95" s="316"/>
      <c r="G95" s="318">
        <f>'Zał.1_WPF_bazowy'!F88</f>
        <v>0</v>
      </c>
      <c r="H95" s="319">
        <f>'Zał.1_WPF_bazowy'!G88</f>
        <v>0</v>
      </c>
      <c r="I95" s="319">
        <f>'Zał.1_WPF_bazowy'!H88</f>
        <v>0</v>
      </c>
      <c r="J95" s="320">
        <f>'Zał.1_WPF_bazowy'!I88</f>
        <v>0</v>
      </c>
      <c r="K95" s="321">
        <f>+'Zał.1_WPF_bazowy'!J88</f>
        <v>0</v>
      </c>
      <c r="L95" s="322">
        <f>+'Zał.1_WPF_bazowy'!K88</f>
        <v>0</v>
      </c>
      <c r="M95" s="322">
        <f>+'Zał.1_WPF_bazowy'!L88</f>
        <v>0</v>
      </c>
      <c r="N95" s="322">
        <f>+'Zał.1_WPF_bazowy'!M88</f>
        <v>0</v>
      </c>
      <c r="O95" s="322">
        <f>+'Zał.1_WPF_bazowy'!N88</f>
        <v>0</v>
      </c>
      <c r="P95" s="322">
        <f>+'Zał.1_WPF_bazowy'!O88</f>
        <v>0</v>
      </c>
      <c r="Q95" s="322">
        <f>+'Zał.1_WPF_bazowy'!P88</f>
        <v>0</v>
      </c>
      <c r="R95" s="322">
        <f>+'Zał.1_WPF_bazowy'!Q88</f>
        <v>0</v>
      </c>
      <c r="S95" s="322">
        <f>+'Zał.1_WPF_bazowy'!R88</f>
        <v>0</v>
      </c>
      <c r="T95" s="322">
        <f>+'Zał.1_WPF_bazowy'!S88</f>
        <v>0</v>
      </c>
      <c r="U95" s="322" t="e">
        <f>+'Zał.1_WPF_bazowy'!#REF!</f>
        <v>#REF!</v>
      </c>
      <c r="V95" s="322" t="e">
        <f>+'Zał.1_WPF_bazowy'!#REF!</f>
        <v>#REF!</v>
      </c>
      <c r="W95" s="322" t="e">
        <f>+'Zał.1_WPF_bazowy'!#REF!</f>
        <v>#REF!</v>
      </c>
      <c r="X95" s="322" t="e">
        <f>+'Zał.1_WPF_bazowy'!#REF!</f>
        <v>#REF!</v>
      </c>
      <c r="Y95" s="322" t="e">
        <f>+'Zał.1_WPF_bazowy'!#REF!</f>
        <v>#REF!</v>
      </c>
      <c r="Z95" s="322" t="e">
        <f>+'Zał.1_WPF_bazowy'!#REF!</f>
        <v>#REF!</v>
      </c>
      <c r="AA95" s="322" t="e">
        <f>+'Zał.1_WPF_bazowy'!#REF!</f>
        <v>#REF!</v>
      </c>
      <c r="AB95" s="322" t="e">
        <f>+'Zał.1_WPF_bazowy'!#REF!</f>
        <v>#REF!</v>
      </c>
      <c r="AC95" s="322" t="e">
        <f>+'Zał.1_WPF_bazowy'!#REF!</f>
        <v>#REF!</v>
      </c>
      <c r="AD95" s="322" t="e">
        <f>+'Zał.1_WPF_bazowy'!#REF!</f>
        <v>#REF!</v>
      </c>
      <c r="AE95" s="322" t="e">
        <f>+'Zał.1_WPF_bazowy'!#REF!</f>
        <v>#REF!</v>
      </c>
      <c r="AF95" s="322" t="e">
        <f>+'Zał.1_WPF_bazowy'!#REF!</f>
        <v>#REF!</v>
      </c>
      <c r="AG95" s="322" t="e">
        <f>+'Zał.1_WPF_bazowy'!#REF!</f>
        <v>#REF!</v>
      </c>
      <c r="AH95" s="322" t="e">
        <f>+'Zał.1_WPF_bazowy'!#REF!</f>
        <v>#REF!</v>
      </c>
      <c r="AI95" s="322" t="e">
        <f>+'Zał.1_WPF_bazowy'!#REF!</f>
        <v>#REF!</v>
      </c>
      <c r="AJ95" s="322" t="e">
        <f>+'Zał.1_WPF_bazowy'!#REF!</f>
        <v>#REF!</v>
      </c>
      <c r="AK95" s="322" t="e">
        <f>+'Zał.1_WPF_bazowy'!#REF!</f>
        <v>#REF!</v>
      </c>
      <c r="AL95" s="322" t="e">
        <f>+'Zał.1_WPF_bazowy'!#REF!</f>
        <v>#REF!</v>
      </c>
      <c r="AM95" s="322" t="e">
        <f>+'Zał.1_WPF_bazowy'!#REF!</f>
        <v>#REF!</v>
      </c>
      <c r="AN95" s="323" t="e">
        <f>+'Zał.1_WPF_bazowy'!#REF!</f>
        <v>#REF!</v>
      </c>
    </row>
    <row r="96" spans="1:40" ht="23.25" customHeight="1" outlineLevel="2">
      <c r="A96" s="48" t="s">
        <v>165</v>
      </c>
      <c r="B96" s="316"/>
      <c r="C96" s="317"/>
      <c r="D96" s="316" t="s">
        <v>166</v>
      </c>
      <c r="E96" s="316"/>
      <c r="F96" s="316"/>
      <c r="G96" s="318">
        <f>'Zał.1_WPF_bazowy'!F89</f>
        <v>0</v>
      </c>
      <c r="H96" s="319">
        <f>'Zał.1_WPF_bazowy'!G89</f>
        <v>0</v>
      </c>
      <c r="I96" s="319">
        <f>'Zał.1_WPF_bazowy'!H89</f>
        <v>0</v>
      </c>
      <c r="J96" s="320">
        <f>'Zał.1_WPF_bazowy'!I89</f>
        <v>0</v>
      </c>
      <c r="K96" s="321">
        <f>+'Zał.1_WPF_bazowy'!J89</f>
        <v>0</v>
      </c>
      <c r="L96" s="322">
        <f>+'Zał.1_WPF_bazowy'!K89</f>
        <v>0</v>
      </c>
      <c r="M96" s="322">
        <f>+'Zał.1_WPF_bazowy'!L89</f>
        <v>0</v>
      </c>
      <c r="N96" s="322">
        <f>+'Zał.1_WPF_bazowy'!M89</f>
        <v>0</v>
      </c>
      <c r="O96" s="322">
        <f>+'Zał.1_WPF_bazowy'!N89</f>
        <v>0</v>
      </c>
      <c r="P96" s="322">
        <f>+'Zał.1_WPF_bazowy'!O89</f>
        <v>0</v>
      </c>
      <c r="Q96" s="322">
        <f>+'Zał.1_WPF_bazowy'!P89</f>
        <v>0</v>
      </c>
      <c r="R96" s="322">
        <f>+'Zał.1_WPF_bazowy'!Q89</f>
        <v>0</v>
      </c>
      <c r="S96" s="322">
        <f>+'Zał.1_WPF_bazowy'!R89</f>
        <v>0</v>
      </c>
      <c r="T96" s="322">
        <f>+'Zał.1_WPF_bazowy'!S89</f>
        <v>0</v>
      </c>
      <c r="U96" s="322" t="e">
        <f>+'Zał.1_WPF_bazowy'!#REF!</f>
        <v>#REF!</v>
      </c>
      <c r="V96" s="322" t="e">
        <f>+'Zał.1_WPF_bazowy'!#REF!</f>
        <v>#REF!</v>
      </c>
      <c r="W96" s="322" t="e">
        <f>+'Zał.1_WPF_bazowy'!#REF!</f>
        <v>#REF!</v>
      </c>
      <c r="X96" s="322" t="e">
        <f>+'Zał.1_WPF_bazowy'!#REF!</f>
        <v>#REF!</v>
      </c>
      <c r="Y96" s="322" t="e">
        <f>+'Zał.1_WPF_bazowy'!#REF!</f>
        <v>#REF!</v>
      </c>
      <c r="Z96" s="322" t="e">
        <f>+'Zał.1_WPF_bazowy'!#REF!</f>
        <v>#REF!</v>
      </c>
      <c r="AA96" s="322" t="e">
        <f>+'Zał.1_WPF_bazowy'!#REF!</f>
        <v>#REF!</v>
      </c>
      <c r="AB96" s="322" t="e">
        <f>+'Zał.1_WPF_bazowy'!#REF!</f>
        <v>#REF!</v>
      </c>
      <c r="AC96" s="322" t="e">
        <f>+'Zał.1_WPF_bazowy'!#REF!</f>
        <v>#REF!</v>
      </c>
      <c r="AD96" s="322" t="e">
        <f>+'Zał.1_WPF_bazowy'!#REF!</f>
        <v>#REF!</v>
      </c>
      <c r="AE96" s="322" t="e">
        <f>+'Zał.1_WPF_bazowy'!#REF!</f>
        <v>#REF!</v>
      </c>
      <c r="AF96" s="322" t="e">
        <f>+'Zał.1_WPF_bazowy'!#REF!</f>
        <v>#REF!</v>
      </c>
      <c r="AG96" s="322" t="e">
        <f>+'Zał.1_WPF_bazowy'!#REF!</f>
        <v>#REF!</v>
      </c>
      <c r="AH96" s="322" t="e">
        <f>+'Zał.1_WPF_bazowy'!#REF!</f>
        <v>#REF!</v>
      </c>
      <c r="AI96" s="322" t="e">
        <f>+'Zał.1_WPF_bazowy'!#REF!</f>
        <v>#REF!</v>
      </c>
      <c r="AJ96" s="322" t="e">
        <f>+'Zał.1_WPF_bazowy'!#REF!</f>
        <v>#REF!</v>
      </c>
      <c r="AK96" s="322" t="e">
        <f>+'Zał.1_WPF_bazowy'!#REF!</f>
        <v>#REF!</v>
      </c>
      <c r="AL96" s="322" t="e">
        <f>+'Zał.1_WPF_bazowy'!#REF!</f>
        <v>#REF!</v>
      </c>
      <c r="AM96" s="322" t="e">
        <f>+'Zał.1_WPF_bazowy'!#REF!</f>
        <v>#REF!</v>
      </c>
      <c r="AN96" s="323" t="e">
        <f>+'Zał.1_WPF_bazowy'!#REF!</f>
        <v>#REF!</v>
      </c>
    </row>
    <row r="97" spans="1:40" s="315" customFormat="1" ht="15" customHeight="1" outlineLevel="1">
      <c r="A97" s="307">
        <v>14</v>
      </c>
      <c r="B97" s="308"/>
      <c r="C97" s="309" t="s">
        <v>167</v>
      </c>
      <c r="D97" s="309"/>
      <c r="E97" s="309"/>
      <c r="F97" s="309"/>
      <c r="G97" s="341" t="s">
        <v>39</v>
      </c>
      <c r="H97" s="342" t="s">
        <v>39</v>
      </c>
      <c r="I97" s="342" t="s">
        <v>39</v>
      </c>
      <c r="J97" s="343" t="s">
        <v>39</v>
      </c>
      <c r="K97" s="344" t="s">
        <v>39</v>
      </c>
      <c r="L97" s="345" t="s">
        <v>39</v>
      </c>
      <c r="M97" s="345" t="s">
        <v>39</v>
      </c>
      <c r="N97" s="345" t="s">
        <v>39</v>
      </c>
      <c r="O97" s="345" t="s">
        <v>39</v>
      </c>
      <c r="P97" s="345" t="s">
        <v>39</v>
      </c>
      <c r="Q97" s="345" t="s">
        <v>39</v>
      </c>
      <c r="R97" s="345" t="s">
        <v>39</v>
      </c>
      <c r="S97" s="345" t="s">
        <v>39</v>
      </c>
      <c r="T97" s="345" t="s">
        <v>39</v>
      </c>
      <c r="U97" s="345" t="s">
        <v>39</v>
      </c>
      <c r="V97" s="345" t="s">
        <v>39</v>
      </c>
      <c r="W97" s="345" t="s">
        <v>39</v>
      </c>
      <c r="X97" s="345" t="s">
        <v>39</v>
      </c>
      <c r="Y97" s="345" t="s">
        <v>39</v>
      </c>
      <c r="Z97" s="345" t="s">
        <v>39</v>
      </c>
      <c r="AA97" s="345" t="s">
        <v>39</v>
      </c>
      <c r="AB97" s="345" t="s">
        <v>39</v>
      </c>
      <c r="AC97" s="345" t="s">
        <v>39</v>
      </c>
      <c r="AD97" s="345" t="s">
        <v>39</v>
      </c>
      <c r="AE97" s="345" t="s">
        <v>39</v>
      </c>
      <c r="AF97" s="345" t="s">
        <v>39</v>
      </c>
      <c r="AG97" s="345" t="s">
        <v>39</v>
      </c>
      <c r="AH97" s="345" t="s">
        <v>39</v>
      </c>
      <c r="AI97" s="345" t="s">
        <v>39</v>
      </c>
      <c r="AJ97" s="345" t="s">
        <v>39</v>
      </c>
      <c r="AK97" s="345" t="s">
        <v>39</v>
      </c>
      <c r="AL97" s="345" t="s">
        <v>39</v>
      </c>
      <c r="AM97" s="345" t="s">
        <v>39</v>
      </c>
      <c r="AN97" s="346" t="s">
        <v>39</v>
      </c>
    </row>
    <row r="98" spans="1:40" ht="36" customHeight="1" outlineLevel="2">
      <c r="A98" s="48" t="s">
        <v>168</v>
      </c>
      <c r="B98" s="316"/>
      <c r="C98" s="317"/>
      <c r="D98" s="316" t="s">
        <v>169</v>
      </c>
      <c r="E98" s="316"/>
      <c r="F98" s="316"/>
      <c r="G98" s="318">
        <f>'Zał.1_WPF_bazowy'!F91</f>
        <v>0</v>
      </c>
      <c r="H98" s="319">
        <f>'Zał.1_WPF_bazowy'!G91</f>
        <v>0</v>
      </c>
      <c r="I98" s="319">
        <f>'Zał.1_WPF_bazowy'!H91</f>
        <v>0</v>
      </c>
      <c r="J98" s="320">
        <f>'Zał.1_WPF_bazowy'!I91</f>
        <v>0</v>
      </c>
      <c r="K98" s="321">
        <f>+'Zał.1_WPF_bazowy'!J91</f>
        <v>0</v>
      </c>
      <c r="L98" s="322">
        <f>+'Zał.1_WPF_bazowy'!K91</f>
        <v>0</v>
      </c>
      <c r="M98" s="322">
        <f>+'Zał.1_WPF_bazowy'!L91</f>
        <v>0</v>
      </c>
      <c r="N98" s="322">
        <f>+'Zał.1_WPF_bazowy'!M91</f>
        <v>0</v>
      </c>
      <c r="O98" s="322">
        <f>+'Zał.1_WPF_bazowy'!N91</f>
        <v>0</v>
      </c>
      <c r="P98" s="322">
        <f>+'Zał.1_WPF_bazowy'!O91</f>
        <v>0</v>
      </c>
      <c r="Q98" s="322">
        <f>+'Zał.1_WPF_bazowy'!P91</f>
        <v>0</v>
      </c>
      <c r="R98" s="322">
        <f>+'Zał.1_WPF_bazowy'!Q91</f>
        <v>0</v>
      </c>
      <c r="S98" s="322">
        <f>+'Zał.1_WPF_bazowy'!R91</f>
        <v>0</v>
      </c>
      <c r="T98" s="322">
        <f>+'Zał.1_WPF_bazowy'!S91</f>
        <v>0</v>
      </c>
      <c r="U98" s="322" t="e">
        <f>+'Zał.1_WPF_bazowy'!#REF!</f>
        <v>#REF!</v>
      </c>
      <c r="V98" s="322" t="e">
        <f>+'Zał.1_WPF_bazowy'!#REF!</f>
        <v>#REF!</v>
      </c>
      <c r="W98" s="322" t="e">
        <f>+'Zał.1_WPF_bazowy'!#REF!</f>
        <v>#REF!</v>
      </c>
      <c r="X98" s="322" t="e">
        <f>+'Zał.1_WPF_bazowy'!#REF!</f>
        <v>#REF!</v>
      </c>
      <c r="Y98" s="322" t="e">
        <f>+'Zał.1_WPF_bazowy'!#REF!</f>
        <v>#REF!</v>
      </c>
      <c r="Z98" s="322" t="e">
        <f>+'Zał.1_WPF_bazowy'!#REF!</f>
        <v>#REF!</v>
      </c>
      <c r="AA98" s="322" t="e">
        <f>+'Zał.1_WPF_bazowy'!#REF!</f>
        <v>#REF!</v>
      </c>
      <c r="AB98" s="322" t="e">
        <f>+'Zał.1_WPF_bazowy'!#REF!</f>
        <v>#REF!</v>
      </c>
      <c r="AC98" s="322" t="e">
        <f>+'Zał.1_WPF_bazowy'!#REF!</f>
        <v>#REF!</v>
      </c>
      <c r="AD98" s="322" t="e">
        <f>+'Zał.1_WPF_bazowy'!#REF!</f>
        <v>#REF!</v>
      </c>
      <c r="AE98" s="322" t="e">
        <f>+'Zał.1_WPF_bazowy'!#REF!</f>
        <v>#REF!</v>
      </c>
      <c r="AF98" s="322" t="e">
        <f>+'Zał.1_WPF_bazowy'!#REF!</f>
        <v>#REF!</v>
      </c>
      <c r="AG98" s="322" t="e">
        <f>+'Zał.1_WPF_bazowy'!#REF!</f>
        <v>#REF!</v>
      </c>
      <c r="AH98" s="322" t="e">
        <f>+'Zał.1_WPF_bazowy'!#REF!</f>
        <v>#REF!</v>
      </c>
      <c r="AI98" s="322" t="e">
        <f>+'Zał.1_WPF_bazowy'!#REF!</f>
        <v>#REF!</v>
      </c>
      <c r="AJ98" s="322" t="e">
        <f>+'Zał.1_WPF_bazowy'!#REF!</f>
        <v>#REF!</v>
      </c>
      <c r="AK98" s="322" t="e">
        <f>+'Zał.1_WPF_bazowy'!#REF!</f>
        <v>#REF!</v>
      </c>
      <c r="AL98" s="322" t="e">
        <f>+'Zał.1_WPF_bazowy'!#REF!</f>
        <v>#REF!</v>
      </c>
      <c r="AM98" s="322" t="e">
        <f>+'Zał.1_WPF_bazowy'!#REF!</f>
        <v>#REF!</v>
      </c>
      <c r="AN98" s="323" t="e">
        <f>+'Zał.1_WPF_bazowy'!#REF!</f>
        <v>#REF!</v>
      </c>
    </row>
    <row r="99" spans="1:40" ht="12.75" customHeight="1" outlineLevel="2">
      <c r="A99" s="48" t="s">
        <v>170</v>
      </c>
      <c r="B99" s="316"/>
      <c r="C99" s="317"/>
      <c r="D99" s="316" t="s">
        <v>171</v>
      </c>
      <c r="E99" s="316"/>
      <c r="F99" s="316"/>
      <c r="G99" s="318">
        <f>'Zał.1_WPF_bazowy'!F92</f>
        <v>0</v>
      </c>
      <c r="H99" s="319">
        <f>'Zał.1_WPF_bazowy'!G92</f>
        <v>0</v>
      </c>
      <c r="I99" s="319">
        <f>'Zał.1_WPF_bazowy'!H92</f>
        <v>0</v>
      </c>
      <c r="J99" s="320">
        <f>'Zał.1_WPF_bazowy'!I92</f>
        <v>0</v>
      </c>
      <c r="K99" s="321">
        <f>+'Zał.1_WPF_bazowy'!J92</f>
        <v>0</v>
      </c>
      <c r="L99" s="322">
        <f>+'Zał.1_WPF_bazowy'!K92</f>
        <v>0</v>
      </c>
      <c r="M99" s="322">
        <f>+'Zał.1_WPF_bazowy'!L92</f>
        <v>0</v>
      </c>
      <c r="N99" s="322">
        <f>+'Zał.1_WPF_bazowy'!M92</f>
        <v>0</v>
      </c>
      <c r="O99" s="322">
        <f>+'Zał.1_WPF_bazowy'!N92</f>
        <v>0</v>
      </c>
      <c r="P99" s="322">
        <f>+'Zał.1_WPF_bazowy'!O92</f>
        <v>0</v>
      </c>
      <c r="Q99" s="322">
        <f>+'Zał.1_WPF_bazowy'!P92</f>
        <v>0</v>
      </c>
      <c r="R99" s="322">
        <f>+'Zał.1_WPF_bazowy'!Q92</f>
        <v>0</v>
      </c>
      <c r="S99" s="322">
        <f>+'Zał.1_WPF_bazowy'!R92</f>
        <v>0</v>
      </c>
      <c r="T99" s="322">
        <f>+'Zał.1_WPF_bazowy'!S92</f>
        <v>0</v>
      </c>
      <c r="U99" s="322" t="e">
        <f>+'Zał.1_WPF_bazowy'!#REF!</f>
        <v>#REF!</v>
      </c>
      <c r="V99" s="322" t="e">
        <f>+'Zał.1_WPF_bazowy'!#REF!</f>
        <v>#REF!</v>
      </c>
      <c r="W99" s="322" t="e">
        <f>+'Zał.1_WPF_bazowy'!#REF!</f>
        <v>#REF!</v>
      </c>
      <c r="X99" s="322" t="e">
        <f>+'Zał.1_WPF_bazowy'!#REF!</f>
        <v>#REF!</v>
      </c>
      <c r="Y99" s="322" t="e">
        <f>+'Zał.1_WPF_bazowy'!#REF!</f>
        <v>#REF!</v>
      </c>
      <c r="Z99" s="322" t="e">
        <f>+'Zał.1_WPF_bazowy'!#REF!</f>
        <v>#REF!</v>
      </c>
      <c r="AA99" s="322" t="e">
        <f>+'Zał.1_WPF_bazowy'!#REF!</f>
        <v>#REF!</v>
      </c>
      <c r="AB99" s="322" t="e">
        <f>+'Zał.1_WPF_bazowy'!#REF!</f>
        <v>#REF!</v>
      </c>
      <c r="AC99" s="322" t="e">
        <f>+'Zał.1_WPF_bazowy'!#REF!</f>
        <v>#REF!</v>
      </c>
      <c r="AD99" s="322" t="e">
        <f>+'Zał.1_WPF_bazowy'!#REF!</f>
        <v>#REF!</v>
      </c>
      <c r="AE99" s="322" t="e">
        <f>+'Zał.1_WPF_bazowy'!#REF!</f>
        <v>#REF!</v>
      </c>
      <c r="AF99" s="322" t="e">
        <f>+'Zał.1_WPF_bazowy'!#REF!</f>
        <v>#REF!</v>
      </c>
      <c r="AG99" s="322" t="e">
        <f>+'Zał.1_WPF_bazowy'!#REF!</f>
        <v>#REF!</v>
      </c>
      <c r="AH99" s="322" t="e">
        <f>+'Zał.1_WPF_bazowy'!#REF!</f>
        <v>#REF!</v>
      </c>
      <c r="AI99" s="322" t="e">
        <f>+'Zał.1_WPF_bazowy'!#REF!</f>
        <v>#REF!</v>
      </c>
      <c r="AJ99" s="322" t="e">
        <f>+'Zał.1_WPF_bazowy'!#REF!</f>
        <v>#REF!</v>
      </c>
      <c r="AK99" s="322" t="e">
        <f>+'Zał.1_WPF_bazowy'!#REF!</f>
        <v>#REF!</v>
      </c>
      <c r="AL99" s="322" t="e">
        <f>+'Zał.1_WPF_bazowy'!#REF!</f>
        <v>#REF!</v>
      </c>
      <c r="AM99" s="322" t="e">
        <f>+'Zał.1_WPF_bazowy'!#REF!</f>
        <v>#REF!</v>
      </c>
      <c r="AN99" s="323" t="e">
        <f>+'Zał.1_WPF_bazowy'!#REF!</f>
        <v>#REF!</v>
      </c>
    </row>
    <row r="100" spans="1:40" ht="12.75" customHeight="1" outlineLevel="2">
      <c r="A100" s="48" t="s">
        <v>172</v>
      </c>
      <c r="B100" s="316"/>
      <c r="C100" s="317"/>
      <c r="D100" s="316" t="s">
        <v>173</v>
      </c>
      <c r="E100" s="316"/>
      <c r="F100" s="316"/>
      <c r="G100" s="318">
        <f>'Zał.1_WPF_bazowy'!F93</f>
        <v>0</v>
      </c>
      <c r="H100" s="319">
        <f>'Zał.1_WPF_bazowy'!G93</f>
        <v>0</v>
      </c>
      <c r="I100" s="319">
        <f>'Zał.1_WPF_bazowy'!H93</f>
        <v>0</v>
      </c>
      <c r="J100" s="320">
        <f>'Zał.1_WPF_bazowy'!I93</f>
        <v>0</v>
      </c>
      <c r="K100" s="321">
        <f>+'Zał.1_WPF_bazowy'!J93</f>
        <v>0</v>
      </c>
      <c r="L100" s="322">
        <f>+'Zał.1_WPF_bazowy'!K93</f>
        <v>0</v>
      </c>
      <c r="M100" s="322">
        <f>+'Zał.1_WPF_bazowy'!L93</f>
        <v>0</v>
      </c>
      <c r="N100" s="322">
        <f>+'Zał.1_WPF_bazowy'!M93</f>
        <v>0</v>
      </c>
      <c r="O100" s="322">
        <f>+'Zał.1_WPF_bazowy'!N93</f>
        <v>0</v>
      </c>
      <c r="P100" s="322">
        <f>+'Zał.1_WPF_bazowy'!O93</f>
        <v>0</v>
      </c>
      <c r="Q100" s="322">
        <f>+'Zał.1_WPF_bazowy'!P93</f>
        <v>0</v>
      </c>
      <c r="R100" s="322">
        <f>+'Zał.1_WPF_bazowy'!Q93</f>
        <v>0</v>
      </c>
      <c r="S100" s="322">
        <f>+'Zał.1_WPF_bazowy'!R93</f>
        <v>0</v>
      </c>
      <c r="T100" s="322">
        <f>+'Zał.1_WPF_bazowy'!S93</f>
        <v>0</v>
      </c>
      <c r="U100" s="322" t="e">
        <f>+'Zał.1_WPF_bazowy'!#REF!</f>
        <v>#REF!</v>
      </c>
      <c r="V100" s="322" t="e">
        <f>+'Zał.1_WPF_bazowy'!#REF!</f>
        <v>#REF!</v>
      </c>
      <c r="W100" s="322" t="e">
        <f>+'Zał.1_WPF_bazowy'!#REF!</f>
        <v>#REF!</v>
      </c>
      <c r="X100" s="322" t="e">
        <f>+'Zał.1_WPF_bazowy'!#REF!</f>
        <v>#REF!</v>
      </c>
      <c r="Y100" s="322" t="e">
        <f>+'Zał.1_WPF_bazowy'!#REF!</f>
        <v>#REF!</v>
      </c>
      <c r="Z100" s="322" t="e">
        <f>+'Zał.1_WPF_bazowy'!#REF!</f>
        <v>#REF!</v>
      </c>
      <c r="AA100" s="322" t="e">
        <f>+'Zał.1_WPF_bazowy'!#REF!</f>
        <v>#REF!</v>
      </c>
      <c r="AB100" s="322" t="e">
        <f>+'Zał.1_WPF_bazowy'!#REF!</f>
        <v>#REF!</v>
      </c>
      <c r="AC100" s="322" t="e">
        <f>+'Zał.1_WPF_bazowy'!#REF!</f>
        <v>#REF!</v>
      </c>
      <c r="AD100" s="322" t="e">
        <f>+'Zał.1_WPF_bazowy'!#REF!</f>
        <v>#REF!</v>
      </c>
      <c r="AE100" s="322" t="e">
        <f>+'Zał.1_WPF_bazowy'!#REF!</f>
        <v>#REF!</v>
      </c>
      <c r="AF100" s="322" t="e">
        <f>+'Zał.1_WPF_bazowy'!#REF!</f>
        <v>#REF!</v>
      </c>
      <c r="AG100" s="322" t="e">
        <f>+'Zał.1_WPF_bazowy'!#REF!</f>
        <v>#REF!</v>
      </c>
      <c r="AH100" s="322" t="e">
        <f>+'Zał.1_WPF_bazowy'!#REF!</f>
        <v>#REF!</v>
      </c>
      <c r="AI100" s="322" t="e">
        <f>+'Zał.1_WPF_bazowy'!#REF!</f>
        <v>#REF!</v>
      </c>
      <c r="AJ100" s="322" t="e">
        <f>+'Zał.1_WPF_bazowy'!#REF!</f>
        <v>#REF!</v>
      </c>
      <c r="AK100" s="322" t="e">
        <f>+'Zał.1_WPF_bazowy'!#REF!</f>
        <v>#REF!</v>
      </c>
      <c r="AL100" s="322" t="e">
        <f>+'Zał.1_WPF_bazowy'!#REF!</f>
        <v>#REF!</v>
      </c>
      <c r="AM100" s="322" t="e">
        <f>+'Zał.1_WPF_bazowy'!#REF!</f>
        <v>#REF!</v>
      </c>
      <c r="AN100" s="323" t="e">
        <f>+'Zał.1_WPF_bazowy'!#REF!</f>
        <v>#REF!</v>
      </c>
    </row>
    <row r="101" spans="1:40" ht="24" customHeight="1" outlineLevel="2">
      <c r="A101" s="48" t="s">
        <v>174</v>
      </c>
      <c r="B101" s="316"/>
      <c r="C101" s="317"/>
      <c r="D101" s="324"/>
      <c r="E101" s="316" t="s">
        <v>175</v>
      </c>
      <c r="F101" s="316"/>
      <c r="G101" s="318">
        <f>'Zał.1_WPF_bazowy'!F94</f>
        <v>0</v>
      </c>
      <c r="H101" s="319">
        <f>'Zał.1_WPF_bazowy'!G94</f>
        <v>0</v>
      </c>
      <c r="I101" s="319">
        <f>'Zał.1_WPF_bazowy'!H94</f>
        <v>0</v>
      </c>
      <c r="J101" s="320">
        <f>'Zał.1_WPF_bazowy'!I94</f>
        <v>0</v>
      </c>
      <c r="K101" s="321">
        <f>+'Zał.1_WPF_bazowy'!J94</f>
        <v>0</v>
      </c>
      <c r="L101" s="322">
        <f>+'Zał.1_WPF_bazowy'!K94</f>
        <v>0</v>
      </c>
      <c r="M101" s="322">
        <f>+'Zał.1_WPF_bazowy'!L94</f>
        <v>0</v>
      </c>
      <c r="N101" s="322">
        <f>+'Zał.1_WPF_bazowy'!M94</f>
        <v>0</v>
      </c>
      <c r="O101" s="322">
        <f>+'Zał.1_WPF_bazowy'!N94</f>
        <v>0</v>
      </c>
      <c r="P101" s="322">
        <f>+'Zał.1_WPF_bazowy'!O94</f>
        <v>0</v>
      </c>
      <c r="Q101" s="322">
        <f>+'Zał.1_WPF_bazowy'!P94</f>
        <v>0</v>
      </c>
      <c r="R101" s="322">
        <f>+'Zał.1_WPF_bazowy'!Q94</f>
        <v>0</v>
      </c>
      <c r="S101" s="322">
        <f>+'Zał.1_WPF_bazowy'!R94</f>
        <v>0</v>
      </c>
      <c r="T101" s="322">
        <f>+'Zał.1_WPF_bazowy'!S94</f>
        <v>0</v>
      </c>
      <c r="U101" s="322" t="e">
        <f>+'Zał.1_WPF_bazowy'!#REF!</f>
        <v>#REF!</v>
      </c>
      <c r="V101" s="322" t="e">
        <f>+'Zał.1_WPF_bazowy'!#REF!</f>
        <v>#REF!</v>
      </c>
      <c r="W101" s="322" t="e">
        <f>+'Zał.1_WPF_bazowy'!#REF!</f>
        <v>#REF!</v>
      </c>
      <c r="X101" s="322" t="e">
        <f>+'Zał.1_WPF_bazowy'!#REF!</f>
        <v>#REF!</v>
      </c>
      <c r="Y101" s="322" t="e">
        <f>+'Zał.1_WPF_bazowy'!#REF!</f>
        <v>#REF!</v>
      </c>
      <c r="Z101" s="322" t="e">
        <f>+'Zał.1_WPF_bazowy'!#REF!</f>
        <v>#REF!</v>
      </c>
      <c r="AA101" s="322" t="e">
        <f>+'Zał.1_WPF_bazowy'!#REF!</f>
        <v>#REF!</v>
      </c>
      <c r="AB101" s="322" t="e">
        <f>+'Zał.1_WPF_bazowy'!#REF!</f>
        <v>#REF!</v>
      </c>
      <c r="AC101" s="322" t="e">
        <f>+'Zał.1_WPF_bazowy'!#REF!</f>
        <v>#REF!</v>
      </c>
      <c r="AD101" s="322" t="e">
        <f>+'Zał.1_WPF_bazowy'!#REF!</f>
        <v>#REF!</v>
      </c>
      <c r="AE101" s="322" t="e">
        <f>+'Zał.1_WPF_bazowy'!#REF!</f>
        <v>#REF!</v>
      </c>
      <c r="AF101" s="322" t="e">
        <f>+'Zał.1_WPF_bazowy'!#REF!</f>
        <v>#REF!</v>
      </c>
      <c r="AG101" s="322" t="e">
        <f>+'Zał.1_WPF_bazowy'!#REF!</f>
        <v>#REF!</v>
      </c>
      <c r="AH101" s="322" t="e">
        <f>+'Zał.1_WPF_bazowy'!#REF!</f>
        <v>#REF!</v>
      </c>
      <c r="AI101" s="322" t="e">
        <f>+'Zał.1_WPF_bazowy'!#REF!</f>
        <v>#REF!</v>
      </c>
      <c r="AJ101" s="322" t="e">
        <f>+'Zał.1_WPF_bazowy'!#REF!</f>
        <v>#REF!</v>
      </c>
      <c r="AK101" s="322" t="e">
        <f>+'Zał.1_WPF_bazowy'!#REF!</f>
        <v>#REF!</v>
      </c>
      <c r="AL101" s="322" t="e">
        <f>+'Zał.1_WPF_bazowy'!#REF!</f>
        <v>#REF!</v>
      </c>
      <c r="AM101" s="322" t="e">
        <f>+'Zał.1_WPF_bazowy'!#REF!</f>
        <v>#REF!</v>
      </c>
      <c r="AN101" s="323" t="e">
        <f>+'Zał.1_WPF_bazowy'!#REF!</f>
        <v>#REF!</v>
      </c>
    </row>
    <row r="102" spans="1:40" ht="24" customHeight="1" outlineLevel="2">
      <c r="A102" s="48" t="s">
        <v>176</v>
      </c>
      <c r="B102" s="316"/>
      <c r="C102" s="317"/>
      <c r="D102" s="324"/>
      <c r="E102" s="316" t="s">
        <v>177</v>
      </c>
      <c r="F102" s="316"/>
      <c r="G102" s="318">
        <f>'Zał.1_WPF_bazowy'!F95</f>
        <v>0</v>
      </c>
      <c r="H102" s="319">
        <f>'Zał.1_WPF_bazowy'!G95</f>
        <v>0</v>
      </c>
      <c r="I102" s="319">
        <f>'Zał.1_WPF_bazowy'!H95</f>
        <v>0</v>
      </c>
      <c r="J102" s="320">
        <f>'Zał.1_WPF_bazowy'!I95</f>
        <v>0</v>
      </c>
      <c r="K102" s="321">
        <f>+'Zał.1_WPF_bazowy'!J95</f>
        <v>0</v>
      </c>
      <c r="L102" s="322">
        <f>+'Zał.1_WPF_bazowy'!K95</f>
        <v>0</v>
      </c>
      <c r="M102" s="322">
        <f>+'Zał.1_WPF_bazowy'!L95</f>
        <v>0</v>
      </c>
      <c r="N102" s="322">
        <f>+'Zał.1_WPF_bazowy'!M95</f>
        <v>0</v>
      </c>
      <c r="O102" s="322">
        <f>+'Zał.1_WPF_bazowy'!N95</f>
        <v>0</v>
      </c>
      <c r="P102" s="322">
        <f>+'Zał.1_WPF_bazowy'!O95</f>
        <v>0</v>
      </c>
      <c r="Q102" s="322">
        <f>+'Zał.1_WPF_bazowy'!P95</f>
        <v>0</v>
      </c>
      <c r="R102" s="322">
        <f>+'Zał.1_WPF_bazowy'!Q95</f>
        <v>0</v>
      </c>
      <c r="S102" s="322">
        <f>+'Zał.1_WPF_bazowy'!R95</f>
        <v>0</v>
      </c>
      <c r="T102" s="322">
        <f>+'Zał.1_WPF_bazowy'!S95</f>
        <v>0</v>
      </c>
      <c r="U102" s="322" t="e">
        <f>+'Zał.1_WPF_bazowy'!#REF!</f>
        <v>#REF!</v>
      </c>
      <c r="V102" s="322" t="e">
        <f>+'Zał.1_WPF_bazowy'!#REF!</f>
        <v>#REF!</v>
      </c>
      <c r="W102" s="322" t="e">
        <f>+'Zał.1_WPF_bazowy'!#REF!</f>
        <v>#REF!</v>
      </c>
      <c r="X102" s="322" t="e">
        <f>+'Zał.1_WPF_bazowy'!#REF!</f>
        <v>#REF!</v>
      </c>
      <c r="Y102" s="322" t="e">
        <f>+'Zał.1_WPF_bazowy'!#REF!</f>
        <v>#REF!</v>
      </c>
      <c r="Z102" s="322" t="e">
        <f>+'Zał.1_WPF_bazowy'!#REF!</f>
        <v>#REF!</v>
      </c>
      <c r="AA102" s="322" t="e">
        <f>+'Zał.1_WPF_bazowy'!#REF!</f>
        <v>#REF!</v>
      </c>
      <c r="AB102" s="322" t="e">
        <f>+'Zał.1_WPF_bazowy'!#REF!</f>
        <v>#REF!</v>
      </c>
      <c r="AC102" s="322" t="e">
        <f>+'Zał.1_WPF_bazowy'!#REF!</f>
        <v>#REF!</v>
      </c>
      <c r="AD102" s="322" t="e">
        <f>+'Zał.1_WPF_bazowy'!#REF!</f>
        <v>#REF!</v>
      </c>
      <c r="AE102" s="322" t="e">
        <f>+'Zał.1_WPF_bazowy'!#REF!</f>
        <v>#REF!</v>
      </c>
      <c r="AF102" s="322" t="e">
        <f>+'Zał.1_WPF_bazowy'!#REF!</f>
        <v>#REF!</v>
      </c>
      <c r="AG102" s="322" t="e">
        <f>+'Zał.1_WPF_bazowy'!#REF!</f>
        <v>#REF!</v>
      </c>
      <c r="AH102" s="322" t="e">
        <f>+'Zał.1_WPF_bazowy'!#REF!</f>
        <v>#REF!</v>
      </c>
      <c r="AI102" s="322" t="e">
        <f>+'Zał.1_WPF_bazowy'!#REF!</f>
        <v>#REF!</v>
      </c>
      <c r="AJ102" s="322" t="e">
        <f>+'Zał.1_WPF_bazowy'!#REF!</f>
        <v>#REF!</v>
      </c>
      <c r="AK102" s="322" t="e">
        <f>+'Zał.1_WPF_bazowy'!#REF!</f>
        <v>#REF!</v>
      </c>
      <c r="AL102" s="322" t="e">
        <f>+'Zał.1_WPF_bazowy'!#REF!</f>
        <v>#REF!</v>
      </c>
      <c r="AM102" s="322" t="e">
        <f>+'Zał.1_WPF_bazowy'!#REF!</f>
        <v>#REF!</v>
      </c>
      <c r="AN102" s="323" t="e">
        <f>+'Zał.1_WPF_bazowy'!#REF!</f>
        <v>#REF!</v>
      </c>
    </row>
    <row r="103" spans="1:40" ht="12.75" customHeight="1" outlineLevel="2">
      <c r="A103" s="48" t="s">
        <v>178</v>
      </c>
      <c r="B103" s="316"/>
      <c r="C103" s="317"/>
      <c r="D103" s="324"/>
      <c r="E103" s="316" t="s">
        <v>179</v>
      </c>
      <c r="F103" s="316"/>
      <c r="G103" s="318">
        <f>'Zał.1_WPF_bazowy'!F96</f>
        <v>0</v>
      </c>
      <c r="H103" s="319">
        <f>'Zał.1_WPF_bazowy'!G96</f>
        <v>0</v>
      </c>
      <c r="I103" s="319">
        <f>'Zał.1_WPF_bazowy'!H96</f>
        <v>0</v>
      </c>
      <c r="J103" s="320">
        <f>'Zał.1_WPF_bazowy'!I96</f>
        <v>0</v>
      </c>
      <c r="K103" s="321">
        <f>+'Zał.1_WPF_bazowy'!J96</f>
        <v>0</v>
      </c>
      <c r="L103" s="322">
        <f>+'Zał.1_WPF_bazowy'!K96</f>
        <v>0</v>
      </c>
      <c r="M103" s="322">
        <f>+'Zał.1_WPF_bazowy'!L96</f>
        <v>0</v>
      </c>
      <c r="N103" s="322">
        <f>+'Zał.1_WPF_bazowy'!M96</f>
        <v>0</v>
      </c>
      <c r="O103" s="322">
        <f>+'Zał.1_WPF_bazowy'!N96</f>
        <v>0</v>
      </c>
      <c r="P103" s="322">
        <f>+'Zał.1_WPF_bazowy'!O96</f>
        <v>0</v>
      </c>
      <c r="Q103" s="322">
        <f>+'Zał.1_WPF_bazowy'!P96</f>
        <v>0</v>
      </c>
      <c r="R103" s="322">
        <f>+'Zał.1_WPF_bazowy'!Q96</f>
        <v>0</v>
      </c>
      <c r="S103" s="322">
        <f>+'Zał.1_WPF_bazowy'!R96</f>
        <v>0</v>
      </c>
      <c r="T103" s="322">
        <f>+'Zał.1_WPF_bazowy'!S96</f>
        <v>0</v>
      </c>
      <c r="U103" s="322" t="e">
        <f>+'Zał.1_WPF_bazowy'!#REF!</f>
        <v>#REF!</v>
      </c>
      <c r="V103" s="322" t="e">
        <f>+'Zał.1_WPF_bazowy'!#REF!</f>
        <v>#REF!</v>
      </c>
      <c r="W103" s="322" t="e">
        <f>+'Zał.1_WPF_bazowy'!#REF!</f>
        <v>#REF!</v>
      </c>
      <c r="X103" s="322" t="e">
        <f>+'Zał.1_WPF_bazowy'!#REF!</f>
        <v>#REF!</v>
      </c>
      <c r="Y103" s="322" t="e">
        <f>+'Zał.1_WPF_bazowy'!#REF!</f>
        <v>#REF!</v>
      </c>
      <c r="Z103" s="322" t="e">
        <f>+'Zał.1_WPF_bazowy'!#REF!</f>
        <v>#REF!</v>
      </c>
      <c r="AA103" s="322" t="e">
        <f>+'Zał.1_WPF_bazowy'!#REF!</f>
        <v>#REF!</v>
      </c>
      <c r="AB103" s="322" t="e">
        <f>+'Zał.1_WPF_bazowy'!#REF!</f>
        <v>#REF!</v>
      </c>
      <c r="AC103" s="322" t="e">
        <f>+'Zał.1_WPF_bazowy'!#REF!</f>
        <v>#REF!</v>
      </c>
      <c r="AD103" s="322" t="e">
        <f>+'Zał.1_WPF_bazowy'!#REF!</f>
        <v>#REF!</v>
      </c>
      <c r="AE103" s="322" t="e">
        <f>+'Zał.1_WPF_bazowy'!#REF!</f>
        <v>#REF!</v>
      </c>
      <c r="AF103" s="322" t="e">
        <f>+'Zał.1_WPF_bazowy'!#REF!</f>
        <v>#REF!</v>
      </c>
      <c r="AG103" s="322" t="e">
        <f>+'Zał.1_WPF_bazowy'!#REF!</f>
        <v>#REF!</v>
      </c>
      <c r="AH103" s="322" t="e">
        <f>+'Zał.1_WPF_bazowy'!#REF!</f>
        <v>#REF!</v>
      </c>
      <c r="AI103" s="322" t="e">
        <f>+'Zał.1_WPF_bazowy'!#REF!</f>
        <v>#REF!</v>
      </c>
      <c r="AJ103" s="322" t="e">
        <f>+'Zał.1_WPF_bazowy'!#REF!</f>
        <v>#REF!</v>
      </c>
      <c r="AK103" s="322" t="e">
        <f>+'Zał.1_WPF_bazowy'!#REF!</f>
        <v>#REF!</v>
      </c>
      <c r="AL103" s="322" t="e">
        <f>+'Zał.1_WPF_bazowy'!#REF!</f>
        <v>#REF!</v>
      </c>
      <c r="AM103" s="322" t="e">
        <f>+'Zał.1_WPF_bazowy'!#REF!</f>
        <v>#REF!</v>
      </c>
      <c r="AN103" s="323" t="e">
        <f>+'Zał.1_WPF_bazowy'!#REF!</f>
        <v>#REF!</v>
      </c>
    </row>
    <row r="104" spans="1:40" ht="24" customHeight="1" outlineLevel="2">
      <c r="A104" s="361" t="s">
        <v>180</v>
      </c>
      <c r="B104" s="362"/>
      <c r="C104" s="363"/>
      <c r="D104" s="362" t="s">
        <v>181</v>
      </c>
      <c r="E104" s="362"/>
      <c r="F104" s="362"/>
      <c r="G104" s="364">
        <f>'Zał.1_WPF_bazowy'!F97</f>
        <v>0</v>
      </c>
      <c r="H104" s="365">
        <f>'Zał.1_WPF_bazowy'!G97</f>
        <v>0</v>
      </c>
      <c r="I104" s="365">
        <f>'Zał.1_WPF_bazowy'!H97</f>
        <v>0</v>
      </c>
      <c r="J104" s="366">
        <f>'Zał.1_WPF_bazowy'!I97</f>
        <v>0</v>
      </c>
      <c r="K104" s="367">
        <f>+'Zał.1_WPF_bazowy'!J97</f>
        <v>0</v>
      </c>
      <c r="L104" s="368">
        <f>+'Zał.1_WPF_bazowy'!K97</f>
        <v>0</v>
      </c>
      <c r="M104" s="368">
        <f>+'Zał.1_WPF_bazowy'!L97</f>
        <v>0</v>
      </c>
      <c r="N104" s="368">
        <f>+'Zał.1_WPF_bazowy'!M97</f>
        <v>0</v>
      </c>
      <c r="O104" s="368">
        <f>+'Zał.1_WPF_bazowy'!N97</f>
        <v>0</v>
      </c>
      <c r="P104" s="368">
        <f>+'Zał.1_WPF_bazowy'!O97</f>
        <v>0</v>
      </c>
      <c r="Q104" s="368">
        <f>+'Zał.1_WPF_bazowy'!P97</f>
        <v>0</v>
      </c>
      <c r="R104" s="368">
        <f>+'Zał.1_WPF_bazowy'!Q97</f>
        <v>0</v>
      </c>
      <c r="S104" s="368">
        <f>+'Zał.1_WPF_bazowy'!R97</f>
        <v>0</v>
      </c>
      <c r="T104" s="368">
        <f>+'Zał.1_WPF_bazowy'!S97</f>
        <v>0</v>
      </c>
      <c r="U104" s="368" t="e">
        <f>+'Zał.1_WPF_bazowy'!#REF!</f>
        <v>#REF!</v>
      </c>
      <c r="V104" s="368" t="e">
        <f>+'Zał.1_WPF_bazowy'!#REF!</f>
        <v>#REF!</v>
      </c>
      <c r="W104" s="368" t="e">
        <f>+'Zał.1_WPF_bazowy'!#REF!</f>
        <v>#REF!</v>
      </c>
      <c r="X104" s="368" t="e">
        <f>+'Zał.1_WPF_bazowy'!#REF!</f>
        <v>#REF!</v>
      </c>
      <c r="Y104" s="368" t="e">
        <f>+'Zał.1_WPF_bazowy'!#REF!</f>
        <v>#REF!</v>
      </c>
      <c r="Z104" s="368" t="e">
        <f>+'Zał.1_WPF_bazowy'!#REF!</f>
        <v>#REF!</v>
      </c>
      <c r="AA104" s="368" t="e">
        <f>+'Zał.1_WPF_bazowy'!#REF!</f>
        <v>#REF!</v>
      </c>
      <c r="AB104" s="368" t="e">
        <f>+'Zał.1_WPF_bazowy'!#REF!</f>
        <v>#REF!</v>
      </c>
      <c r="AC104" s="368" t="e">
        <f>+'Zał.1_WPF_bazowy'!#REF!</f>
        <v>#REF!</v>
      </c>
      <c r="AD104" s="368" t="e">
        <f>+'Zał.1_WPF_bazowy'!#REF!</f>
        <v>#REF!</v>
      </c>
      <c r="AE104" s="368" t="e">
        <f>+'Zał.1_WPF_bazowy'!#REF!</f>
        <v>#REF!</v>
      </c>
      <c r="AF104" s="368" t="e">
        <f>+'Zał.1_WPF_bazowy'!#REF!</f>
        <v>#REF!</v>
      </c>
      <c r="AG104" s="368" t="e">
        <f>+'Zał.1_WPF_bazowy'!#REF!</f>
        <v>#REF!</v>
      </c>
      <c r="AH104" s="368" t="e">
        <f>+'Zał.1_WPF_bazowy'!#REF!</f>
        <v>#REF!</v>
      </c>
      <c r="AI104" s="368" t="e">
        <f>+'Zał.1_WPF_bazowy'!#REF!</f>
        <v>#REF!</v>
      </c>
      <c r="AJ104" s="368" t="e">
        <f>+'Zał.1_WPF_bazowy'!#REF!</f>
        <v>#REF!</v>
      </c>
      <c r="AK104" s="368" t="e">
        <f>+'Zał.1_WPF_bazowy'!#REF!</f>
        <v>#REF!</v>
      </c>
      <c r="AL104" s="368" t="e">
        <f>+'Zał.1_WPF_bazowy'!#REF!</f>
        <v>#REF!</v>
      </c>
      <c r="AM104" s="368" t="e">
        <f>+'Zał.1_WPF_bazowy'!#REF!</f>
        <v>#REF!</v>
      </c>
      <c r="AN104" s="369" t="e">
        <f>+'Zał.1_WPF_bazowy'!#REF!</f>
        <v>#REF!</v>
      </c>
    </row>
    <row r="105" spans="1:40" ht="12.75">
      <c r="A105" s="65"/>
      <c r="B105" s="65"/>
      <c r="C105" s="65"/>
      <c r="D105" s="65"/>
      <c r="E105" s="65"/>
      <c r="F105" s="65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370"/>
      <c r="AM105" s="370"/>
      <c r="AN105" s="370"/>
    </row>
    <row r="106" spans="1:40" ht="12.75">
      <c r="A106" s="65"/>
      <c r="B106" s="65"/>
      <c r="C106" s="65"/>
      <c r="D106" s="65"/>
      <c r="E106" s="65"/>
      <c r="F106" s="65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70"/>
    </row>
    <row r="107" spans="1:40" ht="12.75">
      <c r="A107" s="65"/>
      <c r="B107" s="65"/>
      <c r="C107" s="65"/>
      <c r="D107" s="65"/>
      <c r="E107" s="65"/>
      <c r="F107" s="65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0"/>
      <c r="AM107" s="370"/>
      <c r="AN107" s="370"/>
    </row>
    <row r="108" spans="1:40" ht="12.75">
      <c r="A108" s="73"/>
      <c r="B108" s="73"/>
      <c r="C108" s="65"/>
      <c r="D108" s="65"/>
      <c r="E108" s="65"/>
      <c r="G108" s="371"/>
      <c r="H108" s="371"/>
      <c r="I108" s="371"/>
      <c r="J108" s="371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70"/>
    </row>
    <row r="109" spans="1:40" ht="12.75">
      <c r="A109" s="73"/>
      <c r="B109" s="73"/>
      <c r="C109" s="65"/>
      <c r="D109" s="65"/>
      <c r="E109" s="65"/>
      <c r="G109" s="371"/>
      <c r="H109" s="371"/>
      <c r="I109" s="371"/>
      <c r="J109" s="371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70"/>
    </row>
    <row r="110" spans="1:40" ht="12.75">
      <c r="A110" s="74" t="s">
        <v>186</v>
      </c>
      <c r="B110" s="74"/>
      <c r="C110" s="74"/>
      <c r="D110" s="74"/>
      <c r="E110" s="74"/>
      <c r="F110" s="74"/>
      <c r="G110" s="372"/>
      <c r="H110" s="372"/>
      <c r="I110" s="372"/>
      <c r="J110" s="371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0"/>
      <c r="AM110" s="370"/>
      <c r="AN110" s="370"/>
    </row>
    <row r="111" spans="1:40" ht="12.75" outlineLevel="1">
      <c r="A111" s="76"/>
      <c r="B111" s="76"/>
      <c r="C111" s="76"/>
      <c r="D111" s="76"/>
      <c r="E111" s="76"/>
      <c r="F111" s="77" t="s">
        <v>187</v>
      </c>
      <c r="G111" s="371"/>
      <c r="H111" s="371"/>
      <c r="I111" s="371"/>
      <c r="J111" s="371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  <c r="AL111" s="370"/>
      <c r="AM111" s="370"/>
      <c r="AN111" s="370"/>
    </row>
    <row r="112" spans="1:40" ht="12.75" outlineLevel="1">
      <c r="A112" s="76"/>
      <c r="B112" s="76"/>
      <c r="C112" s="76"/>
      <c r="D112" s="76"/>
      <c r="E112" s="76"/>
      <c r="F112" s="78" t="s">
        <v>188</v>
      </c>
      <c r="G112" s="371"/>
      <c r="H112" s="371"/>
      <c r="I112" s="371"/>
      <c r="J112" s="371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0"/>
      <c r="AM112" s="370"/>
      <c r="AN112" s="370"/>
    </row>
    <row r="113" spans="1:40" ht="12.75" outlineLevel="1">
      <c r="A113" s="76"/>
      <c r="B113" s="76"/>
      <c r="C113" s="76"/>
      <c r="D113" s="76"/>
      <c r="E113" s="76"/>
      <c r="F113" s="79" t="s">
        <v>189</v>
      </c>
      <c r="G113" s="371"/>
      <c r="H113" s="371"/>
      <c r="I113" s="371"/>
      <c r="J113" s="371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</row>
    <row r="114" spans="1:40" ht="12.75" outlineLevel="1">
      <c r="A114" s="373"/>
      <c r="B114" s="373"/>
      <c r="C114" s="373"/>
      <c r="D114" s="373"/>
      <c r="E114" s="373"/>
      <c r="F114" s="81" t="s">
        <v>190</v>
      </c>
      <c r="G114" s="371"/>
      <c r="H114" s="371"/>
      <c r="I114" s="371"/>
      <c r="J114" s="371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</row>
    <row r="115" spans="1:40" ht="12.75" outlineLevel="2">
      <c r="A115" s="374" t="s">
        <v>191</v>
      </c>
      <c r="B115" s="374"/>
      <c r="C115" s="374"/>
      <c r="D115" s="374"/>
      <c r="E115" s="374"/>
      <c r="F115" s="375" t="s">
        <v>192</v>
      </c>
      <c r="G115" s="376"/>
      <c r="H115" s="377"/>
      <c r="I115" s="377"/>
      <c r="J115" s="378"/>
      <c r="K115" s="379" t="str">
        <f aca="true" t="shared" si="22" ref="K115:AN115">IF(K11+K31+K33&gt;=K22-K25,"TAK","NIE")</f>
        <v>TAK</v>
      </c>
      <c r="L115" s="380" t="str">
        <f t="shared" si="22"/>
        <v>TAK</v>
      </c>
      <c r="M115" s="380" t="str">
        <f t="shared" si="22"/>
        <v>TAK</v>
      </c>
      <c r="N115" s="380" t="str">
        <f t="shared" si="22"/>
        <v>TAK</v>
      </c>
      <c r="O115" s="380" t="str">
        <f t="shared" si="22"/>
        <v>TAK</v>
      </c>
      <c r="P115" s="380" t="str">
        <f t="shared" si="22"/>
        <v>TAK</v>
      </c>
      <c r="Q115" s="380" t="str">
        <f t="shared" si="22"/>
        <v>TAK</v>
      </c>
      <c r="R115" s="380" t="str">
        <f t="shared" si="22"/>
        <v>TAK</v>
      </c>
      <c r="S115" s="380" t="str">
        <f t="shared" si="22"/>
        <v>TAK</v>
      </c>
      <c r="T115" s="380" t="str">
        <f t="shared" si="22"/>
        <v>TAK</v>
      </c>
      <c r="U115" s="380" t="e">
        <f t="shared" si="22"/>
        <v>#REF!</v>
      </c>
      <c r="V115" s="380" t="e">
        <f t="shared" si="22"/>
        <v>#REF!</v>
      </c>
      <c r="W115" s="380" t="e">
        <f t="shared" si="22"/>
        <v>#REF!</v>
      </c>
      <c r="X115" s="380" t="e">
        <f t="shared" si="22"/>
        <v>#REF!</v>
      </c>
      <c r="Y115" s="380" t="e">
        <f t="shared" si="22"/>
        <v>#REF!</v>
      </c>
      <c r="Z115" s="380" t="e">
        <f t="shared" si="22"/>
        <v>#REF!</v>
      </c>
      <c r="AA115" s="380" t="e">
        <f t="shared" si="22"/>
        <v>#REF!</v>
      </c>
      <c r="AB115" s="380" t="e">
        <f t="shared" si="22"/>
        <v>#REF!</v>
      </c>
      <c r="AC115" s="380" t="e">
        <f t="shared" si="22"/>
        <v>#REF!</v>
      </c>
      <c r="AD115" s="380" t="e">
        <f t="shared" si="22"/>
        <v>#REF!</v>
      </c>
      <c r="AE115" s="380" t="e">
        <f t="shared" si="22"/>
        <v>#REF!</v>
      </c>
      <c r="AF115" s="380" t="e">
        <f t="shared" si="22"/>
        <v>#REF!</v>
      </c>
      <c r="AG115" s="380" t="e">
        <f t="shared" si="22"/>
        <v>#REF!</v>
      </c>
      <c r="AH115" s="380" t="e">
        <f t="shared" si="22"/>
        <v>#REF!</v>
      </c>
      <c r="AI115" s="380" t="e">
        <f t="shared" si="22"/>
        <v>#REF!</v>
      </c>
      <c r="AJ115" s="380" t="e">
        <f t="shared" si="22"/>
        <v>#REF!</v>
      </c>
      <c r="AK115" s="380" t="e">
        <f t="shared" si="22"/>
        <v>#REF!</v>
      </c>
      <c r="AL115" s="380" t="e">
        <f t="shared" si="22"/>
        <v>#REF!</v>
      </c>
      <c r="AM115" s="380" t="e">
        <f t="shared" si="22"/>
        <v>#REF!</v>
      </c>
      <c r="AN115" s="381" t="e">
        <f t="shared" si="22"/>
        <v>#REF!</v>
      </c>
    </row>
    <row r="116" spans="1:40" ht="12.75" outlineLevel="2">
      <c r="A116" s="382"/>
      <c r="B116" s="382"/>
      <c r="C116" s="382"/>
      <c r="D116" s="382"/>
      <c r="E116" s="382"/>
      <c r="F116" s="383" t="s">
        <v>193</v>
      </c>
      <c r="G116" s="384"/>
      <c r="H116" s="385"/>
      <c r="I116" s="385"/>
      <c r="J116" s="386"/>
      <c r="K116" s="387" t="str">
        <f>IF(K54&lt;=15%,"TAK","NIE")</f>
        <v>TAK</v>
      </c>
      <c r="L116" s="388" t="s">
        <v>39</v>
      </c>
      <c r="M116" s="388" t="s">
        <v>39</v>
      </c>
      <c r="N116" s="388" t="s">
        <v>39</v>
      </c>
      <c r="O116" s="388" t="s">
        <v>39</v>
      </c>
      <c r="P116" s="388" t="s">
        <v>39</v>
      </c>
      <c r="Q116" s="388" t="s">
        <v>39</v>
      </c>
      <c r="R116" s="388" t="s">
        <v>39</v>
      </c>
      <c r="S116" s="388" t="s">
        <v>39</v>
      </c>
      <c r="T116" s="388" t="s">
        <v>39</v>
      </c>
      <c r="U116" s="388" t="s">
        <v>39</v>
      </c>
      <c r="V116" s="388" t="s">
        <v>39</v>
      </c>
      <c r="W116" s="388" t="s">
        <v>39</v>
      </c>
      <c r="X116" s="388" t="s">
        <v>39</v>
      </c>
      <c r="Y116" s="388" t="s">
        <v>39</v>
      </c>
      <c r="Z116" s="388" t="s">
        <v>39</v>
      </c>
      <c r="AA116" s="388" t="s">
        <v>39</v>
      </c>
      <c r="AB116" s="388" t="s">
        <v>39</v>
      </c>
      <c r="AC116" s="388" t="s">
        <v>39</v>
      </c>
      <c r="AD116" s="388" t="s">
        <v>39</v>
      </c>
      <c r="AE116" s="388" t="s">
        <v>39</v>
      </c>
      <c r="AF116" s="388" t="s">
        <v>39</v>
      </c>
      <c r="AG116" s="388" t="s">
        <v>39</v>
      </c>
      <c r="AH116" s="388" t="s">
        <v>39</v>
      </c>
      <c r="AI116" s="388" t="s">
        <v>39</v>
      </c>
      <c r="AJ116" s="388" t="s">
        <v>39</v>
      </c>
      <c r="AK116" s="388" t="s">
        <v>39</v>
      </c>
      <c r="AL116" s="388" t="s">
        <v>39</v>
      </c>
      <c r="AM116" s="388" t="s">
        <v>39</v>
      </c>
      <c r="AN116" s="389" t="s">
        <v>39</v>
      </c>
    </row>
    <row r="117" spans="1:40" ht="12.75" outlineLevel="2">
      <c r="A117" s="382"/>
      <c r="B117" s="382"/>
      <c r="C117" s="382"/>
      <c r="D117" s="382"/>
      <c r="E117" s="382"/>
      <c r="F117" s="383" t="s">
        <v>194</v>
      </c>
      <c r="G117" s="384"/>
      <c r="H117" s="385"/>
      <c r="I117" s="385"/>
      <c r="J117" s="386"/>
      <c r="K117" s="387" t="str">
        <f>IF(K55&lt;=15%,"TAK","NIE")</f>
        <v>TAK</v>
      </c>
      <c r="L117" s="388" t="s">
        <v>39</v>
      </c>
      <c r="M117" s="388" t="s">
        <v>39</v>
      </c>
      <c r="N117" s="388" t="s">
        <v>39</v>
      </c>
      <c r="O117" s="388" t="s">
        <v>39</v>
      </c>
      <c r="P117" s="388" t="s">
        <v>39</v>
      </c>
      <c r="Q117" s="388" t="s">
        <v>39</v>
      </c>
      <c r="R117" s="388" t="s">
        <v>39</v>
      </c>
      <c r="S117" s="388" t="s">
        <v>39</v>
      </c>
      <c r="T117" s="388" t="s">
        <v>39</v>
      </c>
      <c r="U117" s="388" t="s">
        <v>39</v>
      </c>
      <c r="V117" s="388" t="s">
        <v>39</v>
      </c>
      <c r="W117" s="388" t="s">
        <v>39</v>
      </c>
      <c r="X117" s="388" t="s">
        <v>39</v>
      </c>
      <c r="Y117" s="388" t="s">
        <v>39</v>
      </c>
      <c r="Z117" s="388" t="s">
        <v>39</v>
      </c>
      <c r="AA117" s="388" t="s">
        <v>39</v>
      </c>
      <c r="AB117" s="388" t="s">
        <v>39</v>
      </c>
      <c r="AC117" s="388" t="s">
        <v>39</v>
      </c>
      <c r="AD117" s="388" t="s">
        <v>39</v>
      </c>
      <c r="AE117" s="388" t="s">
        <v>39</v>
      </c>
      <c r="AF117" s="388" t="s">
        <v>39</v>
      </c>
      <c r="AG117" s="388" t="s">
        <v>39</v>
      </c>
      <c r="AH117" s="388" t="s">
        <v>39</v>
      </c>
      <c r="AI117" s="388" t="s">
        <v>39</v>
      </c>
      <c r="AJ117" s="388" t="s">
        <v>39</v>
      </c>
      <c r="AK117" s="388" t="s">
        <v>39</v>
      </c>
      <c r="AL117" s="388" t="s">
        <v>39</v>
      </c>
      <c r="AM117" s="388" t="s">
        <v>39</v>
      </c>
      <c r="AN117" s="389" t="s">
        <v>39</v>
      </c>
    </row>
    <row r="118" spans="1:40" ht="12.75" outlineLevel="2">
      <c r="A118" s="382"/>
      <c r="B118" s="382"/>
      <c r="C118" s="382"/>
      <c r="D118" s="382"/>
      <c r="E118" s="382"/>
      <c r="F118" s="383" t="s">
        <v>195</v>
      </c>
      <c r="G118" s="384"/>
      <c r="H118" s="385"/>
      <c r="I118" s="385"/>
      <c r="J118" s="386"/>
      <c r="K118" s="387" t="str">
        <f>IF(K47&lt;=60%,"TAK","NIE")</f>
        <v>TAK</v>
      </c>
      <c r="L118" s="388" t="s">
        <v>39</v>
      </c>
      <c r="M118" s="388" t="s">
        <v>39</v>
      </c>
      <c r="N118" s="388" t="s">
        <v>39</v>
      </c>
      <c r="O118" s="388" t="s">
        <v>39</v>
      </c>
      <c r="P118" s="388" t="s">
        <v>39</v>
      </c>
      <c r="Q118" s="388" t="s">
        <v>39</v>
      </c>
      <c r="R118" s="388" t="s">
        <v>39</v>
      </c>
      <c r="S118" s="388" t="s">
        <v>39</v>
      </c>
      <c r="T118" s="388" t="s">
        <v>39</v>
      </c>
      <c r="U118" s="388" t="s">
        <v>39</v>
      </c>
      <c r="V118" s="388" t="s">
        <v>39</v>
      </c>
      <c r="W118" s="388" t="s">
        <v>39</v>
      </c>
      <c r="X118" s="388" t="s">
        <v>39</v>
      </c>
      <c r="Y118" s="388" t="s">
        <v>39</v>
      </c>
      <c r="Z118" s="388" t="s">
        <v>39</v>
      </c>
      <c r="AA118" s="388" t="s">
        <v>39</v>
      </c>
      <c r="AB118" s="388" t="s">
        <v>39</v>
      </c>
      <c r="AC118" s="388" t="s">
        <v>39</v>
      </c>
      <c r="AD118" s="388" t="s">
        <v>39</v>
      </c>
      <c r="AE118" s="388" t="s">
        <v>39</v>
      </c>
      <c r="AF118" s="388" t="s">
        <v>39</v>
      </c>
      <c r="AG118" s="388" t="s">
        <v>39</v>
      </c>
      <c r="AH118" s="388" t="s">
        <v>39</v>
      </c>
      <c r="AI118" s="388" t="s">
        <v>39</v>
      </c>
      <c r="AJ118" s="388" t="s">
        <v>39</v>
      </c>
      <c r="AK118" s="388" t="s">
        <v>39</v>
      </c>
      <c r="AL118" s="388" t="s">
        <v>39</v>
      </c>
      <c r="AM118" s="388" t="s">
        <v>39</v>
      </c>
      <c r="AN118" s="389" t="s">
        <v>39</v>
      </c>
    </row>
    <row r="119" spans="1:40" ht="12.75" outlineLevel="2">
      <c r="A119" s="382"/>
      <c r="B119" s="382"/>
      <c r="C119" s="382"/>
      <c r="D119" s="382"/>
      <c r="E119" s="382"/>
      <c r="F119" s="383" t="s">
        <v>196</v>
      </c>
      <c r="G119" s="384"/>
      <c r="H119" s="385"/>
      <c r="I119" s="385"/>
      <c r="J119" s="386"/>
      <c r="K119" s="387" t="str">
        <f>IF(K48&lt;=60%,"TAK","NIE")</f>
        <v>TAK</v>
      </c>
      <c r="L119" s="388" t="s">
        <v>39</v>
      </c>
      <c r="M119" s="388" t="s">
        <v>39</v>
      </c>
      <c r="N119" s="388" t="s">
        <v>39</v>
      </c>
      <c r="O119" s="388" t="s">
        <v>39</v>
      </c>
      <c r="P119" s="388" t="s">
        <v>39</v>
      </c>
      <c r="Q119" s="388" t="s">
        <v>39</v>
      </c>
      <c r="R119" s="388" t="s">
        <v>39</v>
      </c>
      <c r="S119" s="388" t="s">
        <v>39</v>
      </c>
      <c r="T119" s="388" t="s">
        <v>39</v>
      </c>
      <c r="U119" s="388" t="s">
        <v>39</v>
      </c>
      <c r="V119" s="388" t="s">
        <v>39</v>
      </c>
      <c r="W119" s="388" t="s">
        <v>39</v>
      </c>
      <c r="X119" s="388" t="s">
        <v>39</v>
      </c>
      <c r="Y119" s="388" t="s">
        <v>39</v>
      </c>
      <c r="Z119" s="388" t="s">
        <v>39</v>
      </c>
      <c r="AA119" s="388" t="s">
        <v>39</v>
      </c>
      <c r="AB119" s="388" t="s">
        <v>39</v>
      </c>
      <c r="AC119" s="388" t="s">
        <v>39</v>
      </c>
      <c r="AD119" s="388" t="s">
        <v>39</v>
      </c>
      <c r="AE119" s="388" t="s">
        <v>39</v>
      </c>
      <c r="AF119" s="388" t="s">
        <v>39</v>
      </c>
      <c r="AG119" s="388" t="s">
        <v>39</v>
      </c>
      <c r="AH119" s="388" t="s">
        <v>39</v>
      </c>
      <c r="AI119" s="388" t="s">
        <v>39</v>
      </c>
      <c r="AJ119" s="388" t="s">
        <v>39</v>
      </c>
      <c r="AK119" s="388" t="s">
        <v>39</v>
      </c>
      <c r="AL119" s="388" t="s">
        <v>39</v>
      </c>
      <c r="AM119" s="388" t="s">
        <v>39</v>
      </c>
      <c r="AN119" s="389" t="s">
        <v>39</v>
      </c>
    </row>
    <row r="120" spans="1:40" ht="12.75" outlineLevel="2">
      <c r="A120" s="382" t="s">
        <v>197</v>
      </c>
      <c r="B120" s="382"/>
      <c r="C120" s="382"/>
      <c r="D120" s="382"/>
      <c r="E120" s="382"/>
      <c r="F120" s="383" t="s">
        <v>198</v>
      </c>
      <c r="G120" s="384"/>
      <c r="H120" s="385"/>
      <c r="I120" s="385"/>
      <c r="J120" s="386"/>
      <c r="K120" s="387" t="s">
        <v>39</v>
      </c>
      <c r="L120" s="388" t="s">
        <v>39</v>
      </c>
      <c r="M120" s="388" t="str">
        <f aca="true" t="shared" si="23" ref="M120:AN120">IF(M92=0,"TAK","BŁĄD")</f>
        <v>TAK</v>
      </c>
      <c r="N120" s="388" t="str">
        <f t="shared" si="23"/>
        <v>TAK</v>
      </c>
      <c r="O120" s="388" t="str">
        <f t="shared" si="23"/>
        <v>TAK</v>
      </c>
      <c r="P120" s="388" t="str">
        <f t="shared" si="23"/>
        <v>TAK</v>
      </c>
      <c r="Q120" s="388" t="str">
        <f t="shared" si="23"/>
        <v>TAK</v>
      </c>
      <c r="R120" s="388" t="str">
        <f t="shared" si="23"/>
        <v>TAK</v>
      </c>
      <c r="S120" s="388" t="str">
        <f t="shared" si="23"/>
        <v>TAK</v>
      </c>
      <c r="T120" s="388" t="str">
        <f t="shared" si="23"/>
        <v>TAK</v>
      </c>
      <c r="U120" s="388" t="e">
        <f t="shared" si="23"/>
        <v>#REF!</v>
      </c>
      <c r="V120" s="388" t="e">
        <f t="shared" si="23"/>
        <v>#REF!</v>
      </c>
      <c r="W120" s="388" t="e">
        <f t="shared" si="23"/>
        <v>#REF!</v>
      </c>
      <c r="X120" s="388" t="e">
        <f t="shared" si="23"/>
        <v>#REF!</v>
      </c>
      <c r="Y120" s="388" t="e">
        <f t="shared" si="23"/>
        <v>#REF!</v>
      </c>
      <c r="Z120" s="388" t="e">
        <f t="shared" si="23"/>
        <v>#REF!</v>
      </c>
      <c r="AA120" s="388" t="e">
        <f t="shared" si="23"/>
        <v>#REF!</v>
      </c>
      <c r="AB120" s="388" t="e">
        <f t="shared" si="23"/>
        <v>#REF!</v>
      </c>
      <c r="AC120" s="388" t="e">
        <f t="shared" si="23"/>
        <v>#REF!</v>
      </c>
      <c r="AD120" s="388" t="e">
        <f t="shared" si="23"/>
        <v>#REF!</v>
      </c>
      <c r="AE120" s="388" t="e">
        <f t="shared" si="23"/>
        <v>#REF!</v>
      </c>
      <c r="AF120" s="388" t="e">
        <f t="shared" si="23"/>
        <v>#REF!</v>
      </c>
      <c r="AG120" s="388" t="e">
        <f t="shared" si="23"/>
        <v>#REF!</v>
      </c>
      <c r="AH120" s="388" t="e">
        <f t="shared" si="23"/>
        <v>#REF!</v>
      </c>
      <c r="AI120" s="388" t="e">
        <f t="shared" si="23"/>
        <v>#REF!</v>
      </c>
      <c r="AJ120" s="388" t="e">
        <f t="shared" si="23"/>
        <v>#REF!</v>
      </c>
      <c r="AK120" s="388" t="e">
        <f t="shared" si="23"/>
        <v>#REF!</v>
      </c>
      <c r="AL120" s="388" t="e">
        <f t="shared" si="23"/>
        <v>#REF!</v>
      </c>
      <c r="AM120" s="388" t="e">
        <f t="shared" si="23"/>
        <v>#REF!</v>
      </c>
      <c r="AN120" s="389" t="e">
        <f t="shared" si="23"/>
        <v>#REF!</v>
      </c>
    </row>
    <row r="121" spans="1:40" ht="12.75" outlineLevel="2">
      <c r="A121" s="382" t="s">
        <v>199</v>
      </c>
      <c r="B121" s="382"/>
      <c r="C121" s="382"/>
      <c r="D121" s="382"/>
      <c r="E121" s="382"/>
      <c r="F121" s="390" t="s">
        <v>200</v>
      </c>
      <c r="G121" s="384"/>
      <c r="H121" s="385"/>
      <c r="I121" s="385"/>
      <c r="J121" s="386"/>
      <c r="K121" s="391" t="str">
        <f aca="true" t="shared" si="24" ref="K121:AN121">IF(K10+K30-K21-K39=0,"OK",K10+K30-K21-K39)</f>
        <v>OK</v>
      </c>
      <c r="L121" s="392" t="str">
        <f t="shared" si="24"/>
        <v>OK</v>
      </c>
      <c r="M121" s="392" t="str">
        <f t="shared" si="24"/>
        <v>OK</v>
      </c>
      <c r="N121" s="392" t="str">
        <f t="shared" si="24"/>
        <v>OK</v>
      </c>
      <c r="O121" s="392" t="str">
        <f t="shared" si="24"/>
        <v>OK</v>
      </c>
      <c r="P121" s="392" t="str">
        <f t="shared" si="24"/>
        <v>OK</v>
      </c>
      <c r="Q121" s="392" t="str">
        <f t="shared" si="24"/>
        <v>OK</v>
      </c>
      <c r="R121" s="392" t="str">
        <f t="shared" si="24"/>
        <v>OK</v>
      </c>
      <c r="S121" s="392" t="str">
        <f t="shared" si="24"/>
        <v>OK</v>
      </c>
      <c r="T121" s="392" t="str">
        <f t="shared" si="24"/>
        <v>OK</v>
      </c>
      <c r="U121" s="392" t="e">
        <f t="shared" si="24"/>
        <v>#REF!</v>
      </c>
      <c r="V121" s="392" t="e">
        <f t="shared" si="24"/>
        <v>#REF!</v>
      </c>
      <c r="W121" s="392" t="e">
        <f t="shared" si="24"/>
        <v>#REF!</v>
      </c>
      <c r="X121" s="392" t="e">
        <f t="shared" si="24"/>
        <v>#REF!</v>
      </c>
      <c r="Y121" s="392" t="e">
        <f t="shared" si="24"/>
        <v>#REF!</v>
      </c>
      <c r="Z121" s="392" t="e">
        <f t="shared" si="24"/>
        <v>#REF!</v>
      </c>
      <c r="AA121" s="392" t="e">
        <f t="shared" si="24"/>
        <v>#REF!</v>
      </c>
      <c r="AB121" s="392" t="e">
        <f t="shared" si="24"/>
        <v>#REF!</v>
      </c>
      <c r="AC121" s="392" t="e">
        <f t="shared" si="24"/>
        <v>#REF!</v>
      </c>
      <c r="AD121" s="392" t="e">
        <f t="shared" si="24"/>
        <v>#REF!</v>
      </c>
      <c r="AE121" s="392" t="e">
        <f t="shared" si="24"/>
        <v>#REF!</v>
      </c>
      <c r="AF121" s="392" t="e">
        <f t="shared" si="24"/>
        <v>#REF!</v>
      </c>
      <c r="AG121" s="392" t="e">
        <f t="shared" si="24"/>
        <v>#REF!</v>
      </c>
      <c r="AH121" s="392" t="e">
        <f t="shared" si="24"/>
        <v>#REF!</v>
      </c>
      <c r="AI121" s="392" t="e">
        <f t="shared" si="24"/>
        <v>#REF!</v>
      </c>
      <c r="AJ121" s="392" t="e">
        <f t="shared" si="24"/>
        <v>#REF!</v>
      </c>
      <c r="AK121" s="392" t="e">
        <f t="shared" si="24"/>
        <v>#REF!</v>
      </c>
      <c r="AL121" s="392" t="e">
        <f t="shared" si="24"/>
        <v>#REF!</v>
      </c>
      <c r="AM121" s="392" t="e">
        <f t="shared" si="24"/>
        <v>#REF!</v>
      </c>
      <c r="AN121" s="393" t="e">
        <f t="shared" si="24"/>
        <v>#REF!</v>
      </c>
    </row>
    <row r="122" spans="1:40" ht="12.75" outlineLevel="2">
      <c r="A122" s="382" t="s">
        <v>201</v>
      </c>
      <c r="B122" s="382"/>
      <c r="C122" s="382"/>
      <c r="D122" s="382"/>
      <c r="E122" s="382"/>
      <c r="F122" s="390" t="s">
        <v>202</v>
      </c>
      <c r="G122" s="384"/>
      <c r="H122" s="385"/>
      <c r="I122" s="385"/>
      <c r="J122" s="386"/>
      <c r="K122" s="391" t="str">
        <f aca="true" t="shared" si="25" ref="K122:AN122">+IF(J44+K35-K40+(K49-J49)+(K99-J99)+K104-K44=0,"OK",J44+K35-K40+(K49-J49)+(K99-J99)+K104-K44)</f>
        <v>OK</v>
      </c>
      <c r="L122" s="392" t="str">
        <f t="shared" si="25"/>
        <v>OK</v>
      </c>
      <c r="M122" s="392" t="str">
        <f t="shared" si="25"/>
        <v>OK</v>
      </c>
      <c r="N122" s="392" t="str">
        <f t="shared" si="25"/>
        <v>OK</v>
      </c>
      <c r="O122" s="392" t="str">
        <f t="shared" si="25"/>
        <v>OK</v>
      </c>
      <c r="P122" s="392" t="str">
        <f t="shared" si="25"/>
        <v>OK</v>
      </c>
      <c r="Q122" s="392" t="str">
        <f t="shared" si="25"/>
        <v>OK</v>
      </c>
      <c r="R122" s="392" t="str">
        <f t="shared" si="25"/>
        <v>OK</v>
      </c>
      <c r="S122" s="392" t="str">
        <f t="shared" si="25"/>
        <v>OK</v>
      </c>
      <c r="T122" s="392" t="str">
        <f t="shared" si="25"/>
        <v>OK</v>
      </c>
      <c r="U122" s="392" t="e">
        <f t="shared" si="25"/>
        <v>#REF!</v>
      </c>
      <c r="V122" s="392" t="e">
        <f t="shared" si="25"/>
        <v>#REF!</v>
      </c>
      <c r="W122" s="392" t="e">
        <f t="shared" si="25"/>
        <v>#REF!</v>
      </c>
      <c r="X122" s="392" t="e">
        <f t="shared" si="25"/>
        <v>#REF!</v>
      </c>
      <c r="Y122" s="392" t="e">
        <f t="shared" si="25"/>
        <v>#REF!</v>
      </c>
      <c r="Z122" s="392" t="e">
        <f t="shared" si="25"/>
        <v>#REF!</v>
      </c>
      <c r="AA122" s="392" t="e">
        <f t="shared" si="25"/>
        <v>#REF!</v>
      </c>
      <c r="AB122" s="392" t="e">
        <f t="shared" si="25"/>
        <v>#REF!</v>
      </c>
      <c r="AC122" s="392" t="e">
        <f t="shared" si="25"/>
        <v>#REF!</v>
      </c>
      <c r="AD122" s="392" t="e">
        <f t="shared" si="25"/>
        <v>#REF!</v>
      </c>
      <c r="AE122" s="392" t="e">
        <f t="shared" si="25"/>
        <v>#REF!</v>
      </c>
      <c r="AF122" s="392" t="e">
        <f t="shared" si="25"/>
        <v>#REF!</v>
      </c>
      <c r="AG122" s="392" t="e">
        <f t="shared" si="25"/>
        <v>#REF!</v>
      </c>
      <c r="AH122" s="392" t="e">
        <f t="shared" si="25"/>
        <v>#REF!</v>
      </c>
      <c r="AI122" s="392" t="e">
        <f t="shared" si="25"/>
        <v>#REF!</v>
      </c>
      <c r="AJ122" s="392" t="e">
        <f t="shared" si="25"/>
        <v>#REF!</v>
      </c>
      <c r="AK122" s="392" t="e">
        <f t="shared" si="25"/>
        <v>#REF!</v>
      </c>
      <c r="AL122" s="392" t="e">
        <f t="shared" si="25"/>
        <v>#REF!</v>
      </c>
      <c r="AM122" s="392" t="e">
        <f t="shared" si="25"/>
        <v>#REF!</v>
      </c>
      <c r="AN122" s="393" t="e">
        <f t="shared" si="25"/>
        <v>#REF!</v>
      </c>
    </row>
    <row r="123" spans="1:40" ht="12.75" outlineLevel="2">
      <c r="A123" s="382" t="s">
        <v>378</v>
      </c>
      <c r="B123" s="382"/>
      <c r="C123" s="382"/>
      <c r="D123" s="382"/>
      <c r="E123" s="382"/>
      <c r="F123" s="96" t="s">
        <v>204</v>
      </c>
      <c r="G123" s="384"/>
      <c r="H123" s="385"/>
      <c r="I123" s="385"/>
      <c r="J123" s="386"/>
      <c r="K123" s="391" t="str">
        <f>+IF(J99-K100-K99=0,"OK",J99-K100-K99)</f>
        <v>OK</v>
      </c>
      <c r="L123" s="392" t="str">
        <f aca="true" t="shared" si="26" ref="L123:AN123">+IF(K99-L100-L99=0,"OK",K99-L100-L99)</f>
        <v>OK</v>
      </c>
      <c r="M123" s="392" t="str">
        <f t="shared" si="26"/>
        <v>OK</v>
      </c>
      <c r="N123" s="392" t="str">
        <f t="shared" si="26"/>
        <v>OK</v>
      </c>
      <c r="O123" s="392" t="str">
        <f t="shared" si="26"/>
        <v>OK</v>
      </c>
      <c r="P123" s="392" t="str">
        <f t="shared" si="26"/>
        <v>OK</v>
      </c>
      <c r="Q123" s="392" t="str">
        <f t="shared" si="26"/>
        <v>OK</v>
      </c>
      <c r="R123" s="392" t="str">
        <f t="shared" si="26"/>
        <v>OK</v>
      </c>
      <c r="S123" s="392" t="str">
        <f t="shared" si="26"/>
        <v>OK</v>
      </c>
      <c r="T123" s="392" t="str">
        <f t="shared" si="26"/>
        <v>OK</v>
      </c>
      <c r="U123" s="392" t="e">
        <f t="shared" si="26"/>
        <v>#REF!</v>
      </c>
      <c r="V123" s="392" t="e">
        <f t="shared" si="26"/>
        <v>#REF!</v>
      </c>
      <c r="W123" s="392" t="e">
        <f t="shared" si="26"/>
        <v>#REF!</v>
      </c>
      <c r="X123" s="392" t="e">
        <f t="shared" si="26"/>
        <v>#REF!</v>
      </c>
      <c r="Y123" s="392" t="e">
        <f t="shared" si="26"/>
        <v>#REF!</v>
      </c>
      <c r="Z123" s="392" t="e">
        <f t="shared" si="26"/>
        <v>#REF!</v>
      </c>
      <c r="AA123" s="392" t="e">
        <f t="shared" si="26"/>
        <v>#REF!</v>
      </c>
      <c r="AB123" s="392" t="e">
        <f t="shared" si="26"/>
        <v>#REF!</v>
      </c>
      <c r="AC123" s="392" t="e">
        <f t="shared" si="26"/>
        <v>#REF!</v>
      </c>
      <c r="AD123" s="392" t="e">
        <f t="shared" si="26"/>
        <v>#REF!</v>
      </c>
      <c r="AE123" s="392" t="e">
        <f t="shared" si="26"/>
        <v>#REF!</v>
      </c>
      <c r="AF123" s="392" t="e">
        <f t="shared" si="26"/>
        <v>#REF!</v>
      </c>
      <c r="AG123" s="392" t="e">
        <f t="shared" si="26"/>
        <v>#REF!</v>
      </c>
      <c r="AH123" s="392" t="e">
        <f t="shared" si="26"/>
        <v>#REF!</v>
      </c>
      <c r="AI123" s="392" t="e">
        <f t="shared" si="26"/>
        <v>#REF!</v>
      </c>
      <c r="AJ123" s="392" t="e">
        <f t="shared" si="26"/>
        <v>#REF!</v>
      </c>
      <c r="AK123" s="392" t="e">
        <f t="shared" si="26"/>
        <v>#REF!</v>
      </c>
      <c r="AL123" s="392" t="e">
        <f t="shared" si="26"/>
        <v>#REF!</v>
      </c>
      <c r="AM123" s="392" t="e">
        <f t="shared" si="26"/>
        <v>#REF!</v>
      </c>
      <c r="AN123" s="393" t="e">
        <f t="shared" si="26"/>
        <v>#REF!</v>
      </c>
    </row>
    <row r="124" spans="1:40" ht="12.75" outlineLevel="2">
      <c r="A124" s="382" t="s">
        <v>205</v>
      </c>
      <c r="B124" s="382"/>
      <c r="C124" s="382"/>
      <c r="D124" s="382"/>
      <c r="E124" s="382"/>
      <c r="F124" s="390" t="s">
        <v>206</v>
      </c>
      <c r="G124" s="384"/>
      <c r="H124" s="385"/>
      <c r="I124" s="385"/>
      <c r="J124" s="386"/>
      <c r="K124" s="391" t="str">
        <f aca="true" t="shared" si="27" ref="K124:AN124">IF(J90-(J92+J93+J94+J95)-K90=0,"OK",J90-(J92+J93+J94+J95)-K90)</f>
        <v>OK</v>
      </c>
      <c r="L124" s="392" t="str">
        <f t="shared" si="27"/>
        <v>OK</v>
      </c>
      <c r="M124" s="392" t="str">
        <f t="shared" si="27"/>
        <v>OK</v>
      </c>
      <c r="N124" s="392" t="str">
        <f t="shared" si="27"/>
        <v>OK</v>
      </c>
      <c r="O124" s="392" t="str">
        <f t="shared" si="27"/>
        <v>OK</v>
      </c>
      <c r="P124" s="392" t="str">
        <f t="shared" si="27"/>
        <v>OK</v>
      </c>
      <c r="Q124" s="392" t="str">
        <f t="shared" si="27"/>
        <v>OK</v>
      </c>
      <c r="R124" s="392" t="str">
        <f t="shared" si="27"/>
        <v>OK</v>
      </c>
      <c r="S124" s="392" t="str">
        <f t="shared" si="27"/>
        <v>OK</v>
      </c>
      <c r="T124" s="392" t="str">
        <f t="shared" si="27"/>
        <v>OK</v>
      </c>
      <c r="U124" s="392" t="e">
        <f t="shared" si="27"/>
        <v>#REF!</v>
      </c>
      <c r="V124" s="392" t="e">
        <f t="shared" si="27"/>
        <v>#REF!</v>
      </c>
      <c r="W124" s="392" t="e">
        <f t="shared" si="27"/>
        <v>#REF!</v>
      </c>
      <c r="X124" s="392" t="e">
        <f t="shared" si="27"/>
        <v>#REF!</v>
      </c>
      <c r="Y124" s="392" t="e">
        <f t="shared" si="27"/>
        <v>#REF!</v>
      </c>
      <c r="Z124" s="392" t="e">
        <f t="shared" si="27"/>
        <v>#REF!</v>
      </c>
      <c r="AA124" s="392" t="e">
        <f t="shared" si="27"/>
        <v>#REF!</v>
      </c>
      <c r="AB124" s="392" t="e">
        <f t="shared" si="27"/>
        <v>#REF!</v>
      </c>
      <c r="AC124" s="392" t="e">
        <f t="shared" si="27"/>
        <v>#REF!</v>
      </c>
      <c r="AD124" s="392" t="e">
        <f t="shared" si="27"/>
        <v>#REF!</v>
      </c>
      <c r="AE124" s="392" t="e">
        <f t="shared" si="27"/>
        <v>#REF!</v>
      </c>
      <c r="AF124" s="392" t="e">
        <f t="shared" si="27"/>
        <v>#REF!</v>
      </c>
      <c r="AG124" s="392" t="e">
        <f t="shared" si="27"/>
        <v>#REF!</v>
      </c>
      <c r="AH124" s="392" t="e">
        <f t="shared" si="27"/>
        <v>#REF!</v>
      </c>
      <c r="AI124" s="392" t="e">
        <f t="shared" si="27"/>
        <v>#REF!</v>
      </c>
      <c r="AJ124" s="392" t="e">
        <f t="shared" si="27"/>
        <v>#REF!</v>
      </c>
      <c r="AK124" s="392" t="e">
        <f t="shared" si="27"/>
        <v>#REF!</v>
      </c>
      <c r="AL124" s="392" t="e">
        <f t="shared" si="27"/>
        <v>#REF!</v>
      </c>
      <c r="AM124" s="392" t="e">
        <f t="shared" si="27"/>
        <v>#REF!</v>
      </c>
      <c r="AN124" s="393" t="e">
        <f t="shared" si="27"/>
        <v>#REF!</v>
      </c>
    </row>
    <row r="125" spans="1:40" ht="12.75" outlineLevel="2">
      <c r="A125" s="382" t="s">
        <v>207</v>
      </c>
      <c r="B125" s="382"/>
      <c r="C125" s="382"/>
      <c r="D125" s="382"/>
      <c r="E125" s="382"/>
      <c r="F125" s="394" t="s">
        <v>208</v>
      </c>
      <c r="G125" s="384"/>
      <c r="H125" s="385"/>
      <c r="I125" s="385"/>
      <c r="J125" s="386"/>
      <c r="K125" s="395" t="str">
        <f aca="true" t="shared" si="28" ref="K125:AN125">IF(K29&lt;0,IF(K32+K34+K36+K38+K29=0,"OK",K32+K34+K36+K38+K29),"N/D")</f>
        <v>OK</v>
      </c>
      <c r="L125" s="396" t="str">
        <f t="shared" si="28"/>
        <v>N/D</v>
      </c>
      <c r="M125" s="396" t="str">
        <f t="shared" si="28"/>
        <v>N/D</v>
      </c>
      <c r="N125" s="396" t="str">
        <f t="shared" si="28"/>
        <v>N/D</v>
      </c>
      <c r="O125" s="396" t="str">
        <f t="shared" si="28"/>
        <v>N/D</v>
      </c>
      <c r="P125" s="396" t="str">
        <f t="shared" si="28"/>
        <v>N/D</v>
      </c>
      <c r="Q125" s="396" t="str">
        <f t="shared" si="28"/>
        <v>N/D</v>
      </c>
      <c r="R125" s="396" t="str">
        <f t="shared" si="28"/>
        <v>N/D</v>
      </c>
      <c r="S125" s="396" t="str">
        <f t="shared" si="28"/>
        <v>N/D</v>
      </c>
      <c r="T125" s="396" t="str">
        <f t="shared" si="28"/>
        <v>N/D</v>
      </c>
      <c r="U125" s="396" t="e">
        <f t="shared" si="28"/>
        <v>#REF!</v>
      </c>
      <c r="V125" s="396" t="e">
        <f t="shared" si="28"/>
        <v>#REF!</v>
      </c>
      <c r="W125" s="396" t="e">
        <f t="shared" si="28"/>
        <v>#REF!</v>
      </c>
      <c r="X125" s="396" t="e">
        <f t="shared" si="28"/>
        <v>#REF!</v>
      </c>
      <c r="Y125" s="396" t="e">
        <f t="shared" si="28"/>
        <v>#REF!</v>
      </c>
      <c r="Z125" s="396" t="e">
        <f t="shared" si="28"/>
        <v>#REF!</v>
      </c>
      <c r="AA125" s="396" t="e">
        <f t="shared" si="28"/>
        <v>#REF!</v>
      </c>
      <c r="AB125" s="396" t="e">
        <f t="shared" si="28"/>
        <v>#REF!</v>
      </c>
      <c r="AC125" s="396" t="e">
        <f t="shared" si="28"/>
        <v>#REF!</v>
      </c>
      <c r="AD125" s="396" t="e">
        <f t="shared" si="28"/>
        <v>#REF!</v>
      </c>
      <c r="AE125" s="396" t="e">
        <f t="shared" si="28"/>
        <v>#REF!</v>
      </c>
      <c r="AF125" s="396" t="e">
        <f t="shared" si="28"/>
        <v>#REF!</v>
      </c>
      <c r="AG125" s="396" t="e">
        <f t="shared" si="28"/>
        <v>#REF!</v>
      </c>
      <c r="AH125" s="396" t="e">
        <f t="shared" si="28"/>
        <v>#REF!</v>
      </c>
      <c r="AI125" s="396" t="e">
        <f t="shared" si="28"/>
        <v>#REF!</v>
      </c>
      <c r="AJ125" s="396" t="e">
        <f t="shared" si="28"/>
        <v>#REF!</v>
      </c>
      <c r="AK125" s="396" t="e">
        <f t="shared" si="28"/>
        <v>#REF!</v>
      </c>
      <c r="AL125" s="396" t="e">
        <f t="shared" si="28"/>
        <v>#REF!</v>
      </c>
      <c r="AM125" s="396" t="e">
        <f t="shared" si="28"/>
        <v>#REF!</v>
      </c>
      <c r="AN125" s="397" t="e">
        <f t="shared" si="28"/>
        <v>#REF!</v>
      </c>
    </row>
    <row r="126" spans="1:40" ht="12.75" outlineLevel="2">
      <c r="A126" s="382" t="s">
        <v>209</v>
      </c>
      <c r="B126" s="382"/>
      <c r="C126" s="382"/>
      <c r="D126" s="382"/>
      <c r="E126" s="382"/>
      <c r="F126" s="394" t="s">
        <v>210</v>
      </c>
      <c r="G126" s="384"/>
      <c r="H126" s="385"/>
      <c r="I126" s="385"/>
      <c r="J126" s="386"/>
      <c r="K126" s="395" t="str">
        <f aca="true" t="shared" si="29" ref="K126:AN126">IF(K29&gt;=0,IF(K32+K34+K36+K38=0,"OK",K32+K34+K36+K38),"N/D")</f>
        <v>N/D</v>
      </c>
      <c r="L126" s="396" t="str">
        <f t="shared" si="29"/>
        <v>OK</v>
      </c>
      <c r="M126" s="396" t="str">
        <f t="shared" si="29"/>
        <v>OK</v>
      </c>
      <c r="N126" s="396" t="str">
        <f t="shared" si="29"/>
        <v>OK</v>
      </c>
      <c r="O126" s="396" t="str">
        <f t="shared" si="29"/>
        <v>OK</v>
      </c>
      <c r="P126" s="396" t="str">
        <f t="shared" si="29"/>
        <v>OK</v>
      </c>
      <c r="Q126" s="396" t="str">
        <f t="shared" si="29"/>
        <v>OK</v>
      </c>
      <c r="R126" s="396" t="str">
        <f t="shared" si="29"/>
        <v>OK</v>
      </c>
      <c r="S126" s="396" t="str">
        <f t="shared" si="29"/>
        <v>OK</v>
      </c>
      <c r="T126" s="396" t="str">
        <f t="shared" si="29"/>
        <v>OK</v>
      </c>
      <c r="U126" s="396" t="e">
        <f t="shared" si="29"/>
        <v>#REF!</v>
      </c>
      <c r="V126" s="396" t="e">
        <f t="shared" si="29"/>
        <v>#REF!</v>
      </c>
      <c r="W126" s="396" t="e">
        <f t="shared" si="29"/>
        <v>#REF!</v>
      </c>
      <c r="X126" s="396" t="e">
        <f t="shared" si="29"/>
        <v>#REF!</v>
      </c>
      <c r="Y126" s="396" t="e">
        <f t="shared" si="29"/>
        <v>#REF!</v>
      </c>
      <c r="Z126" s="396" t="e">
        <f t="shared" si="29"/>
        <v>#REF!</v>
      </c>
      <c r="AA126" s="396" t="e">
        <f t="shared" si="29"/>
        <v>#REF!</v>
      </c>
      <c r="AB126" s="396" t="e">
        <f t="shared" si="29"/>
        <v>#REF!</v>
      </c>
      <c r="AC126" s="396" t="e">
        <f t="shared" si="29"/>
        <v>#REF!</v>
      </c>
      <c r="AD126" s="396" t="e">
        <f t="shared" si="29"/>
        <v>#REF!</v>
      </c>
      <c r="AE126" s="396" t="e">
        <f t="shared" si="29"/>
        <v>#REF!</v>
      </c>
      <c r="AF126" s="396" t="e">
        <f t="shared" si="29"/>
        <v>#REF!</v>
      </c>
      <c r="AG126" s="396" t="e">
        <f t="shared" si="29"/>
        <v>#REF!</v>
      </c>
      <c r="AH126" s="396" t="e">
        <f t="shared" si="29"/>
        <v>#REF!</v>
      </c>
      <c r="AI126" s="396" t="e">
        <f t="shared" si="29"/>
        <v>#REF!</v>
      </c>
      <c r="AJ126" s="396" t="e">
        <f t="shared" si="29"/>
        <v>#REF!</v>
      </c>
      <c r="AK126" s="396" t="e">
        <f t="shared" si="29"/>
        <v>#REF!</v>
      </c>
      <c r="AL126" s="396" t="e">
        <f t="shared" si="29"/>
        <v>#REF!</v>
      </c>
      <c r="AM126" s="396" t="e">
        <f t="shared" si="29"/>
        <v>#REF!</v>
      </c>
      <c r="AN126" s="397" t="e">
        <f t="shared" si="29"/>
        <v>#REF!</v>
      </c>
    </row>
    <row r="127" spans="1:40" ht="12.75" outlineLevel="2">
      <c r="A127" s="382" t="s">
        <v>211</v>
      </c>
      <c r="B127" s="382"/>
      <c r="C127" s="382"/>
      <c r="D127" s="382"/>
      <c r="E127" s="382"/>
      <c r="F127" s="394" t="s">
        <v>212</v>
      </c>
      <c r="G127" s="384"/>
      <c r="H127" s="385"/>
      <c r="I127" s="385"/>
      <c r="J127" s="386"/>
      <c r="K127" s="387" t="str">
        <f aca="true" t="shared" si="30" ref="K127:AN127">IF(K14&gt;=K15,"OK","BŁĄD")</f>
        <v>OK</v>
      </c>
      <c r="L127" s="388" t="str">
        <f t="shared" si="30"/>
        <v>OK</v>
      </c>
      <c r="M127" s="388" t="str">
        <f t="shared" si="30"/>
        <v>OK</v>
      </c>
      <c r="N127" s="388" t="str">
        <f t="shared" si="30"/>
        <v>OK</v>
      </c>
      <c r="O127" s="388" t="str">
        <f t="shared" si="30"/>
        <v>OK</v>
      </c>
      <c r="P127" s="388" t="str">
        <f t="shared" si="30"/>
        <v>OK</v>
      </c>
      <c r="Q127" s="388" t="str">
        <f t="shared" si="30"/>
        <v>OK</v>
      </c>
      <c r="R127" s="388" t="str">
        <f t="shared" si="30"/>
        <v>OK</v>
      </c>
      <c r="S127" s="388" t="str">
        <f t="shared" si="30"/>
        <v>OK</v>
      </c>
      <c r="T127" s="388" t="str">
        <f t="shared" si="30"/>
        <v>OK</v>
      </c>
      <c r="U127" s="388" t="e">
        <f t="shared" si="30"/>
        <v>#REF!</v>
      </c>
      <c r="V127" s="388" t="e">
        <f t="shared" si="30"/>
        <v>#REF!</v>
      </c>
      <c r="W127" s="388" t="e">
        <f t="shared" si="30"/>
        <v>#REF!</v>
      </c>
      <c r="X127" s="388" t="e">
        <f t="shared" si="30"/>
        <v>#REF!</v>
      </c>
      <c r="Y127" s="388" t="e">
        <f t="shared" si="30"/>
        <v>#REF!</v>
      </c>
      <c r="Z127" s="388" t="e">
        <f t="shared" si="30"/>
        <v>#REF!</v>
      </c>
      <c r="AA127" s="388" t="e">
        <f t="shared" si="30"/>
        <v>#REF!</v>
      </c>
      <c r="AB127" s="388" t="e">
        <f t="shared" si="30"/>
        <v>#REF!</v>
      </c>
      <c r="AC127" s="388" t="e">
        <f t="shared" si="30"/>
        <v>#REF!</v>
      </c>
      <c r="AD127" s="388" t="e">
        <f t="shared" si="30"/>
        <v>#REF!</v>
      </c>
      <c r="AE127" s="388" t="e">
        <f t="shared" si="30"/>
        <v>#REF!</v>
      </c>
      <c r="AF127" s="388" t="e">
        <f t="shared" si="30"/>
        <v>#REF!</v>
      </c>
      <c r="AG127" s="388" t="e">
        <f t="shared" si="30"/>
        <v>#REF!</v>
      </c>
      <c r="AH127" s="388" t="e">
        <f t="shared" si="30"/>
        <v>#REF!</v>
      </c>
      <c r="AI127" s="388" t="e">
        <f t="shared" si="30"/>
        <v>#REF!</v>
      </c>
      <c r="AJ127" s="388" t="e">
        <f t="shared" si="30"/>
        <v>#REF!</v>
      </c>
      <c r="AK127" s="388" t="e">
        <f t="shared" si="30"/>
        <v>#REF!</v>
      </c>
      <c r="AL127" s="388" t="e">
        <f t="shared" si="30"/>
        <v>#REF!</v>
      </c>
      <c r="AM127" s="388" t="e">
        <f t="shared" si="30"/>
        <v>#REF!</v>
      </c>
      <c r="AN127" s="389" t="e">
        <f t="shared" si="30"/>
        <v>#REF!</v>
      </c>
    </row>
    <row r="128" spans="1:40" ht="12.75" outlineLevel="2">
      <c r="A128" s="382" t="s">
        <v>213</v>
      </c>
      <c r="B128" s="382"/>
      <c r="C128" s="382"/>
      <c r="D128" s="382"/>
      <c r="E128" s="382"/>
      <c r="F128" s="394" t="s">
        <v>214</v>
      </c>
      <c r="G128" s="384"/>
      <c r="H128" s="385"/>
      <c r="I128" s="385"/>
      <c r="J128" s="386"/>
      <c r="K128" s="387" t="str">
        <f aca="true" t="shared" si="31" ref="K128:AN128">IF(K17&gt;=K91,"OK","BŁĄD")</f>
        <v>OK</v>
      </c>
      <c r="L128" s="388" t="str">
        <f t="shared" si="31"/>
        <v>OK</v>
      </c>
      <c r="M128" s="388" t="str">
        <f t="shared" si="31"/>
        <v>OK</v>
      </c>
      <c r="N128" s="388" t="str">
        <f t="shared" si="31"/>
        <v>OK</v>
      </c>
      <c r="O128" s="388" t="str">
        <f t="shared" si="31"/>
        <v>OK</v>
      </c>
      <c r="P128" s="388" t="str">
        <f t="shared" si="31"/>
        <v>OK</v>
      </c>
      <c r="Q128" s="388" t="str">
        <f t="shared" si="31"/>
        <v>OK</v>
      </c>
      <c r="R128" s="388" t="str">
        <f t="shared" si="31"/>
        <v>OK</v>
      </c>
      <c r="S128" s="388" t="str">
        <f t="shared" si="31"/>
        <v>OK</v>
      </c>
      <c r="T128" s="388" t="str">
        <f t="shared" si="31"/>
        <v>OK</v>
      </c>
      <c r="U128" s="388" t="e">
        <f t="shared" si="31"/>
        <v>#REF!</v>
      </c>
      <c r="V128" s="388" t="e">
        <f t="shared" si="31"/>
        <v>#REF!</v>
      </c>
      <c r="W128" s="388" t="e">
        <f t="shared" si="31"/>
        <v>#REF!</v>
      </c>
      <c r="X128" s="388" t="e">
        <f t="shared" si="31"/>
        <v>#REF!</v>
      </c>
      <c r="Y128" s="388" t="e">
        <f t="shared" si="31"/>
        <v>#REF!</v>
      </c>
      <c r="Z128" s="388" t="e">
        <f t="shared" si="31"/>
        <v>#REF!</v>
      </c>
      <c r="AA128" s="388" t="e">
        <f t="shared" si="31"/>
        <v>#REF!</v>
      </c>
      <c r="AB128" s="388" t="e">
        <f t="shared" si="31"/>
        <v>#REF!</v>
      </c>
      <c r="AC128" s="388" t="e">
        <f t="shared" si="31"/>
        <v>#REF!</v>
      </c>
      <c r="AD128" s="388" t="e">
        <f t="shared" si="31"/>
        <v>#REF!</v>
      </c>
      <c r="AE128" s="388" t="e">
        <f t="shared" si="31"/>
        <v>#REF!</v>
      </c>
      <c r="AF128" s="388" t="e">
        <f t="shared" si="31"/>
        <v>#REF!</v>
      </c>
      <c r="AG128" s="388" t="e">
        <f t="shared" si="31"/>
        <v>#REF!</v>
      </c>
      <c r="AH128" s="388" t="e">
        <f t="shared" si="31"/>
        <v>#REF!</v>
      </c>
      <c r="AI128" s="388" t="e">
        <f t="shared" si="31"/>
        <v>#REF!</v>
      </c>
      <c r="AJ128" s="388" t="e">
        <f t="shared" si="31"/>
        <v>#REF!</v>
      </c>
      <c r="AK128" s="388" t="e">
        <f t="shared" si="31"/>
        <v>#REF!</v>
      </c>
      <c r="AL128" s="388" t="e">
        <f t="shared" si="31"/>
        <v>#REF!</v>
      </c>
      <c r="AM128" s="388" t="e">
        <f t="shared" si="31"/>
        <v>#REF!</v>
      </c>
      <c r="AN128" s="389" t="e">
        <f t="shared" si="31"/>
        <v>#REF!</v>
      </c>
    </row>
    <row r="129" spans="1:40" ht="12.75" outlineLevel="2">
      <c r="A129" s="382" t="s">
        <v>215</v>
      </c>
      <c r="B129" s="382"/>
      <c r="C129" s="382"/>
      <c r="D129" s="382"/>
      <c r="E129" s="382"/>
      <c r="F129" s="394" t="s">
        <v>216</v>
      </c>
      <c r="G129" s="384"/>
      <c r="H129" s="385"/>
      <c r="I129" s="385"/>
      <c r="J129" s="386"/>
      <c r="K129" s="387" t="str">
        <f aca="true" t="shared" si="32" ref="K129:AN129">IF(K11&gt;=K12+K13+K14+K16+K17,"OK","BŁĄD")</f>
        <v>OK</v>
      </c>
      <c r="L129" s="388" t="str">
        <f t="shared" si="32"/>
        <v>OK</v>
      </c>
      <c r="M129" s="388" t="str">
        <f t="shared" si="32"/>
        <v>OK</v>
      </c>
      <c r="N129" s="388" t="str">
        <f t="shared" si="32"/>
        <v>OK</v>
      </c>
      <c r="O129" s="388" t="str">
        <f t="shared" si="32"/>
        <v>OK</v>
      </c>
      <c r="P129" s="388" t="str">
        <f t="shared" si="32"/>
        <v>OK</v>
      </c>
      <c r="Q129" s="388" t="str">
        <f t="shared" si="32"/>
        <v>OK</v>
      </c>
      <c r="R129" s="388" t="str">
        <f t="shared" si="32"/>
        <v>OK</v>
      </c>
      <c r="S129" s="388" t="str">
        <f t="shared" si="32"/>
        <v>OK</v>
      </c>
      <c r="T129" s="388" t="str">
        <f t="shared" si="32"/>
        <v>OK</v>
      </c>
      <c r="U129" s="388" t="e">
        <f t="shared" si="32"/>
        <v>#REF!</v>
      </c>
      <c r="V129" s="388" t="e">
        <f t="shared" si="32"/>
        <v>#REF!</v>
      </c>
      <c r="W129" s="388" t="e">
        <f t="shared" si="32"/>
        <v>#REF!</v>
      </c>
      <c r="X129" s="388" t="e">
        <f t="shared" si="32"/>
        <v>#REF!</v>
      </c>
      <c r="Y129" s="388" t="e">
        <f t="shared" si="32"/>
        <v>#REF!</v>
      </c>
      <c r="Z129" s="388" t="e">
        <f t="shared" si="32"/>
        <v>#REF!</v>
      </c>
      <c r="AA129" s="388" t="e">
        <f t="shared" si="32"/>
        <v>#REF!</v>
      </c>
      <c r="AB129" s="388" t="e">
        <f t="shared" si="32"/>
        <v>#REF!</v>
      </c>
      <c r="AC129" s="388" t="e">
        <f t="shared" si="32"/>
        <v>#REF!</v>
      </c>
      <c r="AD129" s="388" t="e">
        <f t="shared" si="32"/>
        <v>#REF!</v>
      </c>
      <c r="AE129" s="388" t="e">
        <f t="shared" si="32"/>
        <v>#REF!</v>
      </c>
      <c r="AF129" s="388" t="e">
        <f t="shared" si="32"/>
        <v>#REF!</v>
      </c>
      <c r="AG129" s="388" t="e">
        <f t="shared" si="32"/>
        <v>#REF!</v>
      </c>
      <c r="AH129" s="388" t="e">
        <f t="shared" si="32"/>
        <v>#REF!</v>
      </c>
      <c r="AI129" s="388" t="e">
        <f t="shared" si="32"/>
        <v>#REF!</v>
      </c>
      <c r="AJ129" s="388" t="e">
        <f t="shared" si="32"/>
        <v>#REF!</v>
      </c>
      <c r="AK129" s="388" t="e">
        <f t="shared" si="32"/>
        <v>#REF!</v>
      </c>
      <c r="AL129" s="388" t="e">
        <f t="shared" si="32"/>
        <v>#REF!</v>
      </c>
      <c r="AM129" s="388" t="e">
        <f t="shared" si="32"/>
        <v>#REF!</v>
      </c>
      <c r="AN129" s="389" t="e">
        <f t="shared" si="32"/>
        <v>#REF!</v>
      </c>
    </row>
    <row r="130" spans="1:40" ht="12.75" outlineLevel="2">
      <c r="A130" s="382" t="s">
        <v>217</v>
      </c>
      <c r="B130" s="382"/>
      <c r="C130" s="382"/>
      <c r="D130" s="382"/>
      <c r="E130" s="382"/>
      <c r="F130" s="394" t="s">
        <v>218</v>
      </c>
      <c r="G130" s="384"/>
      <c r="H130" s="385"/>
      <c r="I130" s="385"/>
      <c r="J130" s="386"/>
      <c r="K130" s="387" t="str">
        <f aca="true" t="shared" si="33" ref="K130:AN130">IF(K11&gt;=K77,"OK","BŁĄD")</f>
        <v>OK</v>
      </c>
      <c r="L130" s="388" t="str">
        <f t="shared" si="33"/>
        <v>OK</v>
      </c>
      <c r="M130" s="388" t="str">
        <f t="shared" si="33"/>
        <v>OK</v>
      </c>
      <c r="N130" s="388" t="str">
        <f t="shared" si="33"/>
        <v>OK</v>
      </c>
      <c r="O130" s="388" t="str">
        <f t="shared" si="33"/>
        <v>OK</v>
      </c>
      <c r="P130" s="388" t="str">
        <f t="shared" si="33"/>
        <v>OK</v>
      </c>
      <c r="Q130" s="388" t="str">
        <f t="shared" si="33"/>
        <v>OK</v>
      </c>
      <c r="R130" s="388" t="str">
        <f t="shared" si="33"/>
        <v>OK</v>
      </c>
      <c r="S130" s="388" t="str">
        <f t="shared" si="33"/>
        <v>OK</v>
      </c>
      <c r="T130" s="388" t="str">
        <f t="shared" si="33"/>
        <v>OK</v>
      </c>
      <c r="U130" s="388" t="e">
        <f t="shared" si="33"/>
        <v>#REF!</v>
      </c>
      <c r="V130" s="388" t="e">
        <f t="shared" si="33"/>
        <v>#REF!</v>
      </c>
      <c r="W130" s="388" t="e">
        <f t="shared" si="33"/>
        <v>#REF!</v>
      </c>
      <c r="X130" s="388" t="e">
        <f t="shared" si="33"/>
        <v>#REF!</v>
      </c>
      <c r="Y130" s="388" t="e">
        <f t="shared" si="33"/>
        <v>#REF!</v>
      </c>
      <c r="Z130" s="388" t="e">
        <f t="shared" si="33"/>
        <v>#REF!</v>
      </c>
      <c r="AA130" s="388" t="e">
        <f t="shared" si="33"/>
        <v>#REF!</v>
      </c>
      <c r="AB130" s="388" t="e">
        <f t="shared" si="33"/>
        <v>#REF!</v>
      </c>
      <c r="AC130" s="388" t="e">
        <f t="shared" si="33"/>
        <v>#REF!</v>
      </c>
      <c r="AD130" s="388" t="e">
        <f t="shared" si="33"/>
        <v>#REF!</v>
      </c>
      <c r="AE130" s="388" t="e">
        <f t="shared" si="33"/>
        <v>#REF!</v>
      </c>
      <c r="AF130" s="388" t="e">
        <f t="shared" si="33"/>
        <v>#REF!</v>
      </c>
      <c r="AG130" s="388" t="e">
        <f t="shared" si="33"/>
        <v>#REF!</v>
      </c>
      <c r="AH130" s="388" t="e">
        <f t="shared" si="33"/>
        <v>#REF!</v>
      </c>
      <c r="AI130" s="388" t="e">
        <f t="shared" si="33"/>
        <v>#REF!</v>
      </c>
      <c r="AJ130" s="388" t="e">
        <f t="shared" si="33"/>
        <v>#REF!</v>
      </c>
      <c r="AK130" s="388" t="e">
        <f t="shared" si="33"/>
        <v>#REF!</v>
      </c>
      <c r="AL130" s="388" t="e">
        <f t="shared" si="33"/>
        <v>#REF!</v>
      </c>
      <c r="AM130" s="388" t="e">
        <f t="shared" si="33"/>
        <v>#REF!</v>
      </c>
      <c r="AN130" s="389" t="e">
        <f t="shared" si="33"/>
        <v>#REF!</v>
      </c>
    </row>
    <row r="131" spans="1:40" ht="12.75" outlineLevel="2">
      <c r="A131" s="382" t="s">
        <v>219</v>
      </c>
      <c r="B131" s="382"/>
      <c r="C131" s="382"/>
      <c r="D131" s="382"/>
      <c r="E131" s="382"/>
      <c r="F131" s="394" t="s">
        <v>220</v>
      </c>
      <c r="G131" s="384"/>
      <c r="H131" s="385"/>
      <c r="I131" s="385"/>
      <c r="J131" s="386"/>
      <c r="K131" s="387" t="str">
        <f aca="true" t="shared" si="34" ref="K131:AN131">IF(K18&gt;=K19,"OK","BŁĄD")</f>
        <v>OK</v>
      </c>
      <c r="L131" s="388" t="str">
        <f t="shared" si="34"/>
        <v>OK</v>
      </c>
      <c r="M131" s="388" t="str">
        <f t="shared" si="34"/>
        <v>OK</v>
      </c>
      <c r="N131" s="388" t="str">
        <f t="shared" si="34"/>
        <v>OK</v>
      </c>
      <c r="O131" s="388" t="str">
        <f t="shared" si="34"/>
        <v>OK</v>
      </c>
      <c r="P131" s="388" t="str">
        <f t="shared" si="34"/>
        <v>OK</v>
      </c>
      <c r="Q131" s="388" t="str">
        <f t="shared" si="34"/>
        <v>OK</v>
      </c>
      <c r="R131" s="388" t="str">
        <f t="shared" si="34"/>
        <v>OK</v>
      </c>
      <c r="S131" s="388" t="str">
        <f t="shared" si="34"/>
        <v>OK</v>
      </c>
      <c r="T131" s="388" t="str">
        <f t="shared" si="34"/>
        <v>OK</v>
      </c>
      <c r="U131" s="388" t="e">
        <f t="shared" si="34"/>
        <v>#REF!</v>
      </c>
      <c r="V131" s="388" t="e">
        <f t="shared" si="34"/>
        <v>#REF!</v>
      </c>
      <c r="W131" s="388" t="e">
        <f t="shared" si="34"/>
        <v>#REF!</v>
      </c>
      <c r="X131" s="388" t="e">
        <f t="shared" si="34"/>
        <v>#REF!</v>
      </c>
      <c r="Y131" s="388" t="e">
        <f t="shared" si="34"/>
        <v>#REF!</v>
      </c>
      <c r="Z131" s="388" t="e">
        <f t="shared" si="34"/>
        <v>#REF!</v>
      </c>
      <c r="AA131" s="388" t="e">
        <f t="shared" si="34"/>
        <v>#REF!</v>
      </c>
      <c r="AB131" s="388" t="e">
        <f t="shared" si="34"/>
        <v>#REF!</v>
      </c>
      <c r="AC131" s="388" t="e">
        <f t="shared" si="34"/>
        <v>#REF!</v>
      </c>
      <c r="AD131" s="388" t="e">
        <f t="shared" si="34"/>
        <v>#REF!</v>
      </c>
      <c r="AE131" s="388" t="e">
        <f t="shared" si="34"/>
        <v>#REF!</v>
      </c>
      <c r="AF131" s="388" t="e">
        <f t="shared" si="34"/>
        <v>#REF!</v>
      </c>
      <c r="AG131" s="388" t="e">
        <f t="shared" si="34"/>
        <v>#REF!</v>
      </c>
      <c r="AH131" s="388" t="e">
        <f t="shared" si="34"/>
        <v>#REF!</v>
      </c>
      <c r="AI131" s="388" t="e">
        <f t="shared" si="34"/>
        <v>#REF!</v>
      </c>
      <c r="AJ131" s="388" t="e">
        <f t="shared" si="34"/>
        <v>#REF!</v>
      </c>
      <c r="AK131" s="388" t="e">
        <f t="shared" si="34"/>
        <v>#REF!</v>
      </c>
      <c r="AL131" s="388" t="e">
        <f t="shared" si="34"/>
        <v>#REF!</v>
      </c>
      <c r="AM131" s="388" t="e">
        <f t="shared" si="34"/>
        <v>#REF!</v>
      </c>
      <c r="AN131" s="389" t="e">
        <f t="shared" si="34"/>
        <v>#REF!</v>
      </c>
    </row>
    <row r="132" spans="1:40" ht="12.75" outlineLevel="2">
      <c r="A132" s="382" t="s">
        <v>221</v>
      </c>
      <c r="B132" s="382"/>
      <c r="C132" s="382"/>
      <c r="D132" s="382"/>
      <c r="E132" s="382"/>
      <c r="F132" s="394" t="s">
        <v>222</v>
      </c>
      <c r="G132" s="384"/>
      <c r="H132" s="385"/>
      <c r="I132" s="385"/>
      <c r="J132" s="386"/>
      <c r="K132" s="387" t="str">
        <f aca="true" t="shared" si="35" ref="K132:AN132">IF(K18&gt;=K20,"OK","BŁĄD")</f>
        <v>OK</v>
      </c>
      <c r="L132" s="388" t="str">
        <f t="shared" si="35"/>
        <v>OK</v>
      </c>
      <c r="M132" s="388" t="str">
        <f t="shared" si="35"/>
        <v>OK</v>
      </c>
      <c r="N132" s="388" t="str">
        <f t="shared" si="35"/>
        <v>OK</v>
      </c>
      <c r="O132" s="388" t="str">
        <f t="shared" si="35"/>
        <v>OK</v>
      </c>
      <c r="P132" s="388" t="str">
        <f t="shared" si="35"/>
        <v>OK</v>
      </c>
      <c r="Q132" s="388" t="str">
        <f t="shared" si="35"/>
        <v>OK</v>
      </c>
      <c r="R132" s="388" t="str">
        <f t="shared" si="35"/>
        <v>OK</v>
      </c>
      <c r="S132" s="388" t="str">
        <f t="shared" si="35"/>
        <v>OK</v>
      </c>
      <c r="T132" s="388" t="str">
        <f t="shared" si="35"/>
        <v>OK</v>
      </c>
      <c r="U132" s="388" t="e">
        <f t="shared" si="35"/>
        <v>#REF!</v>
      </c>
      <c r="V132" s="388" t="e">
        <f t="shared" si="35"/>
        <v>#REF!</v>
      </c>
      <c r="W132" s="388" t="e">
        <f t="shared" si="35"/>
        <v>#REF!</v>
      </c>
      <c r="X132" s="388" t="e">
        <f t="shared" si="35"/>
        <v>#REF!</v>
      </c>
      <c r="Y132" s="388" t="e">
        <f t="shared" si="35"/>
        <v>#REF!</v>
      </c>
      <c r="Z132" s="388" t="e">
        <f t="shared" si="35"/>
        <v>#REF!</v>
      </c>
      <c r="AA132" s="388" t="e">
        <f t="shared" si="35"/>
        <v>#REF!</v>
      </c>
      <c r="AB132" s="388" t="e">
        <f t="shared" si="35"/>
        <v>#REF!</v>
      </c>
      <c r="AC132" s="388" t="e">
        <f t="shared" si="35"/>
        <v>#REF!</v>
      </c>
      <c r="AD132" s="388" t="e">
        <f t="shared" si="35"/>
        <v>#REF!</v>
      </c>
      <c r="AE132" s="388" t="e">
        <f t="shared" si="35"/>
        <v>#REF!</v>
      </c>
      <c r="AF132" s="388" t="e">
        <f t="shared" si="35"/>
        <v>#REF!</v>
      </c>
      <c r="AG132" s="388" t="e">
        <f t="shared" si="35"/>
        <v>#REF!</v>
      </c>
      <c r="AH132" s="388" t="e">
        <f t="shared" si="35"/>
        <v>#REF!</v>
      </c>
      <c r="AI132" s="388" t="e">
        <f t="shared" si="35"/>
        <v>#REF!</v>
      </c>
      <c r="AJ132" s="388" t="e">
        <f t="shared" si="35"/>
        <v>#REF!</v>
      </c>
      <c r="AK132" s="388" t="e">
        <f t="shared" si="35"/>
        <v>#REF!</v>
      </c>
      <c r="AL132" s="388" t="e">
        <f t="shared" si="35"/>
        <v>#REF!</v>
      </c>
      <c r="AM132" s="388" t="e">
        <f t="shared" si="35"/>
        <v>#REF!</v>
      </c>
      <c r="AN132" s="389" t="e">
        <f t="shared" si="35"/>
        <v>#REF!</v>
      </c>
    </row>
    <row r="133" spans="1:40" ht="12.75" outlineLevel="2">
      <c r="A133" s="382" t="s">
        <v>223</v>
      </c>
      <c r="B133" s="382"/>
      <c r="C133" s="382"/>
      <c r="D133" s="382"/>
      <c r="E133" s="382"/>
      <c r="F133" s="394" t="s">
        <v>224</v>
      </c>
      <c r="G133" s="384"/>
      <c r="H133" s="385"/>
      <c r="I133" s="385"/>
      <c r="J133" s="386"/>
      <c r="K133" s="387" t="str">
        <f aca="true" t="shared" si="36" ref="K133:AN133">IF(K18&gt;=K80,"OK","BŁĄD")</f>
        <v>OK</v>
      </c>
      <c r="L133" s="388" t="str">
        <f t="shared" si="36"/>
        <v>OK</v>
      </c>
      <c r="M133" s="388" t="str">
        <f t="shared" si="36"/>
        <v>OK</v>
      </c>
      <c r="N133" s="388" t="str">
        <f t="shared" si="36"/>
        <v>OK</v>
      </c>
      <c r="O133" s="388" t="str">
        <f t="shared" si="36"/>
        <v>OK</v>
      </c>
      <c r="P133" s="388" t="str">
        <f t="shared" si="36"/>
        <v>OK</v>
      </c>
      <c r="Q133" s="388" t="str">
        <f t="shared" si="36"/>
        <v>OK</v>
      </c>
      <c r="R133" s="388" t="str">
        <f t="shared" si="36"/>
        <v>OK</v>
      </c>
      <c r="S133" s="388" t="str">
        <f t="shared" si="36"/>
        <v>OK</v>
      </c>
      <c r="T133" s="388" t="str">
        <f t="shared" si="36"/>
        <v>OK</v>
      </c>
      <c r="U133" s="388" t="e">
        <f t="shared" si="36"/>
        <v>#REF!</v>
      </c>
      <c r="V133" s="388" t="e">
        <f t="shared" si="36"/>
        <v>#REF!</v>
      </c>
      <c r="W133" s="388" t="e">
        <f t="shared" si="36"/>
        <v>#REF!</v>
      </c>
      <c r="X133" s="388" t="e">
        <f t="shared" si="36"/>
        <v>#REF!</v>
      </c>
      <c r="Y133" s="388" t="e">
        <f t="shared" si="36"/>
        <v>#REF!</v>
      </c>
      <c r="Z133" s="388" t="e">
        <f t="shared" si="36"/>
        <v>#REF!</v>
      </c>
      <c r="AA133" s="388" t="e">
        <f t="shared" si="36"/>
        <v>#REF!</v>
      </c>
      <c r="AB133" s="388" t="e">
        <f t="shared" si="36"/>
        <v>#REF!</v>
      </c>
      <c r="AC133" s="388" t="e">
        <f t="shared" si="36"/>
        <v>#REF!</v>
      </c>
      <c r="AD133" s="388" t="e">
        <f t="shared" si="36"/>
        <v>#REF!</v>
      </c>
      <c r="AE133" s="388" t="e">
        <f t="shared" si="36"/>
        <v>#REF!</v>
      </c>
      <c r="AF133" s="388" t="e">
        <f t="shared" si="36"/>
        <v>#REF!</v>
      </c>
      <c r="AG133" s="388" t="e">
        <f t="shared" si="36"/>
        <v>#REF!</v>
      </c>
      <c r="AH133" s="388" t="e">
        <f t="shared" si="36"/>
        <v>#REF!</v>
      </c>
      <c r="AI133" s="388" t="e">
        <f t="shared" si="36"/>
        <v>#REF!</v>
      </c>
      <c r="AJ133" s="388" t="e">
        <f t="shared" si="36"/>
        <v>#REF!</v>
      </c>
      <c r="AK133" s="388" t="e">
        <f t="shared" si="36"/>
        <v>#REF!</v>
      </c>
      <c r="AL133" s="388" t="e">
        <f t="shared" si="36"/>
        <v>#REF!</v>
      </c>
      <c r="AM133" s="388" t="e">
        <f t="shared" si="36"/>
        <v>#REF!</v>
      </c>
      <c r="AN133" s="389" t="e">
        <f t="shared" si="36"/>
        <v>#REF!</v>
      </c>
    </row>
    <row r="134" spans="1:40" ht="12.75" outlineLevel="2">
      <c r="A134" s="382" t="s">
        <v>225</v>
      </c>
      <c r="B134" s="382"/>
      <c r="C134" s="382"/>
      <c r="D134" s="382"/>
      <c r="E134" s="382"/>
      <c r="F134" s="394" t="s">
        <v>226</v>
      </c>
      <c r="G134" s="384"/>
      <c r="H134" s="385"/>
      <c r="I134" s="385"/>
      <c r="J134" s="386"/>
      <c r="K134" s="387" t="str">
        <f aca="true" t="shared" si="37" ref="K134:AN134">IF(K65&gt;=K66,"OK","BŁĄD")</f>
        <v>OK</v>
      </c>
      <c r="L134" s="388" t="str">
        <f t="shared" si="37"/>
        <v>OK</v>
      </c>
      <c r="M134" s="388" t="str">
        <f t="shared" si="37"/>
        <v>OK</v>
      </c>
      <c r="N134" s="388" t="str">
        <f t="shared" si="37"/>
        <v>OK</v>
      </c>
      <c r="O134" s="388" t="str">
        <f t="shared" si="37"/>
        <v>OK</v>
      </c>
      <c r="P134" s="388" t="str">
        <f t="shared" si="37"/>
        <v>OK</v>
      </c>
      <c r="Q134" s="388" t="str">
        <f t="shared" si="37"/>
        <v>OK</v>
      </c>
      <c r="R134" s="388" t="str">
        <f t="shared" si="37"/>
        <v>OK</v>
      </c>
      <c r="S134" s="388" t="str">
        <f t="shared" si="37"/>
        <v>OK</v>
      </c>
      <c r="T134" s="388" t="str">
        <f t="shared" si="37"/>
        <v>OK</v>
      </c>
      <c r="U134" s="388" t="e">
        <f t="shared" si="37"/>
        <v>#REF!</v>
      </c>
      <c r="V134" s="388" t="e">
        <f t="shared" si="37"/>
        <v>#REF!</v>
      </c>
      <c r="W134" s="388" t="e">
        <f t="shared" si="37"/>
        <v>#REF!</v>
      </c>
      <c r="X134" s="388" t="e">
        <f t="shared" si="37"/>
        <v>#REF!</v>
      </c>
      <c r="Y134" s="388" t="e">
        <f t="shared" si="37"/>
        <v>#REF!</v>
      </c>
      <c r="Z134" s="388" t="e">
        <f t="shared" si="37"/>
        <v>#REF!</v>
      </c>
      <c r="AA134" s="388" t="e">
        <f t="shared" si="37"/>
        <v>#REF!</v>
      </c>
      <c r="AB134" s="388" t="e">
        <f t="shared" si="37"/>
        <v>#REF!</v>
      </c>
      <c r="AC134" s="388" t="e">
        <f t="shared" si="37"/>
        <v>#REF!</v>
      </c>
      <c r="AD134" s="388" t="e">
        <f t="shared" si="37"/>
        <v>#REF!</v>
      </c>
      <c r="AE134" s="388" t="e">
        <f t="shared" si="37"/>
        <v>#REF!</v>
      </c>
      <c r="AF134" s="388" t="e">
        <f t="shared" si="37"/>
        <v>#REF!</v>
      </c>
      <c r="AG134" s="388" t="e">
        <f t="shared" si="37"/>
        <v>#REF!</v>
      </c>
      <c r="AH134" s="388" t="e">
        <f t="shared" si="37"/>
        <v>#REF!</v>
      </c>
      <c r="AI134" s="388" t="e">
        <f t="shared" si="37"/>
        <v>#REF!</v>
      </c>
      <c r="AJ134" s="388" t="e">
        <f t="shared" si="37"/>
        <v>#REF!</v>
      </c>
      <c r="AK134" s="388" t="e">
        <f t="shared" si="37"/>
        <v>#REF!</v>
      </c>
      <c r="AL134" s="388" t="e">
        <f t="shared" si="37"/>
        <v>#REF!</v>
      </c>
      <c r="AM134" s="388" t="e">
        <f t="shared" si="37"/>
        <v>#REF!</v>
      </c>
      <c r="AN134" s="389" t="e">
        <f t="shared" si="37"/>
        <v>#REF!</v>
      </c>
    </row>
    <row r="135" spans="1:40" ht="12.75" outlineLevel="2">
      <c r="A135" s="382" t="s">
        <v>227</v>
      </c>
      <c r="B135" s="382"/>
      <c r="C135" s="382"/>
      <c r="D135" s="382"/>
      <c r="E135" s="382"/>
      <c r="F135" s="394" t="s">
        <v>228</v>
      </c>
      <c r="G135" s="384"/>
      <c r="H135" s="385"/>
      <c r="I135" s="385"/>
      <c r="J135" s="386"/>
      <c r="K135" s="387" t="str">
        <f aca="true" t="shared" si="38" ref="K135:AN135">IF(K77&gt;=K78,"OK","BŁĄD")</f>
        <v>OK</v>
      </c>
      <c r="L135" s="388" t="str">
        <f t="shared" si="38"/>
        <v>OK</v>
      </c>
      <c r="M135" s="388" t="str">
        <f t="shared" si="38"/>
        <v>OK</v>
      </c>
      <c r="N135" s="388" t="str">
        <f t="shared" si="38"/>
        <v>OK</v>
      </c>
      <c r="O135" s="388" t="str">
        <f t="shared" si="38"/>
        <v>OK</v>
      </c>
      <c r="P135" s="388" t="str">
        <f t="shared" si="38"/>
        <v>OK</v>
      </c>
      <c r="Q135" s="388" t="str">
        <f t="shared" si="38"/>
        <v>OK</v>
      </c>
      <c r="R135" s="388" t="str">
        <f t="shared" si="38"/>
        <v>OK</v>
      </c>
      <c r="S135" s="388" t="str">
        <f t="shared" si="38"/>
        <v>OK</v>
      </c>
      <c r="T135" s="388" t="str">
        <f t="shared" si="38"/>
        <v>OK</v>
      </c>
      <c r="U135" s="388" t="e">
        <f t="shared" si="38"/>
        <v>#REF!</v>
      </c>
      <c r="V135" s="388" t="e">
        <f t="shared" si="38"/>
        <v>#REF!</v>
      </c>
      <c r="W135" s="388" t="e">
        <f t="shared" si="38"/>
        <v>#REF!</v>
      </c>
      <c r="X135" s="388" t="e">
        <f t="shared" si="38"/>
        <v>#REF!</v>
      </c>
      <c r="Y135" s="388" t="e">
        <f t="shared" si="38"/>
        <v>#REF!</v>
      </c>
      <c r="Z135" s="388" t="e">
        <f t="shared" si="38"/>
        <v>#REF!</v>
      </c>
      <c r="AA135" s="388" t="e">
        <f t="shared" si="38"/>
        <v>#REF!</v>
      </c>
      <c r="AB135" s="388" t="e">
        <f t="shared" si="38"/>
        <v>#REF!</v>
      </c>
      <c r="AC135" s="388" t="e">
        <f t="shared" si="38"/>
        <v>#REF!</v>
      </c>
      <c r="AD135" s="388" t="e">
        <f t="shared" si="38"/>
        <v>#REF!</v>
      </c>
      <c r="AE135" s="388" t="e">
        <f t="shared" si="38"/>
        <v>#REF!</v>
      </c>
      <c r="AF135" s="388" t="e">
        <f t="shared" si="38"/>
        <v>#REF!</v>
      </c>
      <c r="AG135" s="388" t="e">
        <f t="shared" si="38"/>
        <v>#REF!</v>
      </c>
      <c r="AH135" s="388" t="e">
        <f t="shared" si="38"/>
        <v>#REF!</v>
      </c>
      <c r="AI135" s="388" t="e">
        <f t="shared" si="38"/>
        <v>#REF!</v>
      </c>
      <c r="AJ135" s="388" t="e">
        <f t="shared" si="38"/>
        <v>#REF!</v>
      </c>
      <c r="AK135" s="388" t="e">
        <f t="shared" si="38"/>
        <v>#REF!</v>
      </c>
      <c r="AL135" s="388" t="e">
        <f t="shared" si="38"/>
        <v>#REF!</v>
      </c>
      <c r="AM135" s="388" t="e">
        <f t="shared" si="38"/>
        <v>#REF!</v>
      </c>
      <c r="AN135" s="389" t="e">
        <f t="shared" si="38"/>
        <v>#REF!</v>
      </c>
    </row>
    <row r="136" spans="1:40" ht="12.75" outlineLevel="2">
      <c r="A136" s="382" t="s">
        <v>229</v>
      </c>
      <c r="B136" s="382"/>
      <c r="C136" s="382"/>
      <c r="D136" s="382"/>
      <c r="E136" s="382"/>
      <c r="F136" s="394" t="s">
        <v>230</v>
      </c>
      <c r="G136" s="384"/>
      <c r="H136" s="385"/>
      <c r="I136" s="385"/>
      <c r="J136" s="386"/>
      <c r="K136" s="387" t="str">
        <f aca="true" t="shared" si="39" ref="K136:AN136">IF(K78&gt;=K79,"OK","BŁĄD")</f>
        <v>OK</v>
      </c>
      <c r="L136" s="388" t="str">
        <f t="shared" si="39"/>
        <v>OK</v>
      </c>
      <c r="M136" s="388" t="str">
        <f t="shared" si="39"/>
        <v>OK</v>
      </c>
      <c r="N136" s="388" t="str">
        <f t="shared" si="39"/>
        <v>OK</v>
      </c>
      <c r="O136" s="388" t="str">
        <f t="shared" si="39"/>
        <v>OK</v>
      </c>
      <c r="P136" s="388" t="str">
        <f t="shared" si="39"/>
        <v>OK</v>
      </c>
      <c r="Q136" s="388" t="str">
        <f t="shared" si="39"/>
        <v>OK</v>
      </c>
      <c r="R136" s="388" t="str">
        <f t="shared" si="39"/>
        <v>OK</v>
      </c>
      <c r="S136" s="388" t="str">
        <f t="shared" si="39"/>
        <v>OK</v>
      </c>
      <c r="T136" s="388" t="str">
        <f t="shared" si="39"/>
        <v>OK</v>
      </c>
      <c r="U136" s="388" t="e">
        <f t="shared" si="39"/>
        <v>#REF!</v>
      </c>
      <c r="V136" s="388" t="e">
        <f t="shared" si="39"/>
        <v>#REF!</v>
      </c>
      <c r="W136" s="388" t="e">
        <f t="shared" si="39"/>
        <v>#REF!</v>
      </c>
      <c r="X136" s="388" t="e">
        <f t="shared" si="39"/>
        <v>#REF!</v>
      </c>
      <c r="Y136" s="388" t="e">
        <f t="shared" si="39"/>
        <v>#REF!</v>
      </c>
      <c r="Z136" s="388" t="e">
        <f t="shared" si="39"/>
        <v>#REF!</v>
      </c>
      <c r="AA136" s="388" t="e">
        <f t="shared" si="39"/>
        <v>#REF!</v>
      </c>
      <c r="AB136" s="388" t="e">
        <f t="shared" si="39"/>
        <v>#REF!</v>
      </c>
      <c r="AC136" s="388" t="e">
        <f t="shared" si="39"/>
        <v>#REF!</v>
      </c>
      <c r="AD136" s="388" t="e">
        <f t="shared" si="39"/>
        <v>#REF!</v>
      </c>
      <c r="AE136" s="388" t="e">
        <f t="shared" si="39"/>
        <v>#REF!</v>
      </c>
      <c r="AF136" s="388" t="e">
        <f t="shared" si="39"/>
        <v>#REF!</v>
      </c>
      <c r="AG136" s="388" t="e">
        <f t="shared" si="39"/>
        <v>#REF!</v>
      </c>
      <c r="AH136" s="388" t="e">
        <f t="shared" si="39"/>
        <v>#REF!</v>
      </c>
      <c r="AI136" s="388" t="e">
        <f t="shared" si="39"/>
        <v>#REF!</v>
      </c>
      <c r="AJ136" s="388" t="e">
        <f t="shared" si="39"/>
        <v>#REF!</v>
      </c>
      <c r="AK136" s="388" t="e">
        <f t="shared" si="39"/>
        <v>#REF!</v>
      </c>
      <c r="AL136" s="388" t="e">
        <f t="shared" si="39"/>
        <v>#REF!</v>
      </c>
      <c r="AM136" s="388" t="e">
        <f t="shared" si="39"/>
        <v>#REF!</v>
      </c>
      <c r="AN136" s="389" t="e">
        <f t="shared" si="39"/>
        <v>#REF!</v>
      </c>
    </row>
    <row r="137" spans="1:40" ht="12.75" outlineLevel="2">
      <c r="A137" s="382" t="s">
        <v>231</v>
      </c>
      <c r="B137" s="382"/>
      <c r="C137" s="382"/>
      <c r="D137" s="382"/>
      <c r="E137" s="382"/>
      <c r="F137" s="394" t="s">
        <v>232</v>
      </c>
      <c r="G137" s="384"/>
      <c r="H137" s="385"/>
      <c r="I137" s="385"/>
      <c r="J137" s="386"/>
      <c r="K137" s="387" t="str">
        <f aca="true" t="shared" si="40" ref="K137:AN137">IF(K80&gt;=K81,"OK","BŁĄD")</f>
        <v>OK</v>
      </c>
      <c r="L137" s="388" t="str">
        <f t="shared" si="40"/>
        <v>OK</v>
      </c>
      <c r="M137" s="388" t="str">
        <f t="shared" si="40"/>
        <v>OK</v>
      </c>
      <c r="N137" s="388" t="str">
        <f t="shared" si="40"/>
        <v>OK</v>
      </c>
      <c r="O137" s="388" t="str">
        <f t="shared" si="40"/>
        <v>OK</v>
      </c>
      <c r="P137" s="388" t="str">
        <f t="shared" si="40"/>
        <v>OK</v>
      </c>
      <c r="Q137" s="388" t="str">
        <f t="shared" si="40"/>
        <v>OK</v>
      </c>
      <c r="R137" s="388" t="str">
        <f t="shared" si="40"/>
        <v>OK</v>
      </c>
      <c r="S137" s="388" t="str">
        <f t="shared" si="40"/>
        <v>OK</v>
      </c>
      <c r="T137" s="388" t="str">
        <f t="shared" si="40"/>
        <v>OK</v>
      </c>
      <c r="U137" s="388" t="e">
        <f t="shared" si="40"/>
        <v>#REF!</v>
      </c>
      <c r="V137" s="388" t="e">
        <f t="shared" si="40"/>
        <v>#REF!</v>
      </c>
      <c r="W137" s="388" t="e">
        <f t="shared" si="40"/>
        <v>#REF!</v>
      </c>
      <c r="X137" s="388" t="e">
        <f t="shared" si="40"/>
        <v>#REF!</v>
      </c>
      <c r="Y137" s="388" t="e">
        <f t="shared" si="40"/>
        <v>#REF!</v>
      </c>
      <c r="Z137" s="388" t="e">
        <f t="shared" si="40"/>
        <v>#REF!</v>
      </c>
      <c r="AA137" s="388" t="e">
        <f t="shared" si="40"/>
        <v>#REF!</v>
      </c>
      <c r="AB137" s="388" t="e">
        <f t="shared" si="40"/>
        <v>#REF!</v>
      </c>
      <c r="AC137" s="388" t="e">
        <f t="shared" si="40"/>
        <v>#REF!</v>
      </c>
      <c r="AD137" s="388" t="e">
        <f t="shared" si="40"/>
        <v>#REF!</v>
      </c>
      <c r="AE137" s="388" t="e">
        <f t="shared" si="40"/>
        <v>#REF!</v>
      </c>
      <c r="AF137" s="388" t="e">
        <f t="shared" si="40"/>
        <v>#REF!</v>
      </c>
      <c r="AG137" s="388" t="e">
        <f t="shared" si="40"/>
        <v>#REF!</v>
      </c>
      <c r="AH137" s="388" t="e">
        <f t="shared" si="40"/>
        <v>#REF!</v>
      </c>
      <c r="AI137" s="388" t="e">
        <f t="shared" si="40"/>
        <v>#REF!</v>
      </c>
      <c r="AJ137" s="388" t="e">
        <f t="shared" si="40"/>
        <v>#REF!</v>
      </c>
      <c r="AK137" s="388" t="e">
        <f t="shared" si="40"/>
        <v>#REF!</v>
      </c>
      <c r="AL137" s="388" t="e">
        <f t="shared" si="40"/>
        <v>#REF!</v>
      </c>
      <c r="AM137" s="388" t="e">
        <f t="shared" si="40"/>
        <v>#REF!</v>
      </c>
      <c r="AN137" s="389" t="e">
        <f t="shared" si="40"/>
        <v>#REF!</v>
      </c>
    </row>
    <row r="138" spans="1:40" ht="12.75" outlineLevel="2">
      <c r="A138" s="382" t="s">
        <v>233</v>
      </c>
      <c r="B138" s="382"/>
      <c r="C138" s="382"/>
      <c r="D138" s="382"/>
      <c r="E138" s="382"/>
      <c r="F138" s="394" t="s">
        <v>234</v>
      </c>
      <c r="G138" s="384"/>
      <c r="H138" s="385"/>
      <c r="I138" s="385"/>
      <c r="J138" s="386"/>
      <c r="K138" s="387" t="str">
        <f aca="true" t="shared" si="41" ref="K138:AN138">IF(K81&gt;=K82,"OK","BŁĄD")</f>
        <v>OK</v>
      </c>
      <c r="L138" s="388" t="str">
        <f t="shared" si="41"/>
        <v>OK</v>
      </c>
      <c r="M138" s="388" t="str">
        <f t="shared" si="41"/>
        <v>OK</v>
      </c>
      <c r="N138" s="388" t="str">
        <f t="shared" si="41"/>
        <v>OK</v>
      </c>
      <c r="O138" s="388" t="str">
        <f t="shared" si="41"/>
        <v>OK</v>
      </c>
      <c r="P138" s="388" t="str">
        <f t="shared" si="41"/>
        <v>OK</v>
      </c>
      <c r="Q138" s="388" t="str">
        <f t="shared" si="41"/>
        <v>OK</v>
      </c>
      <c r="R138" s="388" t="str">
        <f t="shared" si="41"/>
        <v>OK</v>
      </c>
      <c r="S138" s="388" t="str">
        <f t="shared" si="41"/>
        <v>OK</v>
      </c>
      <c r="T138" s="388" t="str">
        <f t="shared" si="41"/>
        <v>OK</v>
      </c>
      <c r="U138" s="388" t="e">
        <f t="shared" si="41"/>
        <v>#REF!</v>
      </c>
      <c r="V138" s="388" t="e">
        <f t="shared" si="41"/>
        <v>#REF!</v>
      </c>
      <c r="W138" s="388" t="e">
        <f t="shared" si="41"/>
        <v>#REF!</v>
      </c>
      <c r="X138" s="388" t="e">
        <f t="shared" si="41"/>
        <v>#REF!</v>
      </c>
      <c r="Y138" s="388" t="e">
        <f t="shared" si="41"/>
        <v>#REF!</v>
      </c>
      <c r="Z138" s="388" t="e">
        <f t="shared" si="41"/>
        <v>#REF!</v>
      </c>
      <c r="AA138" s="388" t="e">
        <f t="shared" si="41"/>
        <v>#REF!</v>
      </c>
      <c r="AB138" s="388" t="e">
        <f t="shared" si="41"/>
        <v>#REF!</v>
      </c>
      <c r="AC138" s="388" t="e">
        <f t="shared" si="41"/>
        <v>#REF!</v>
      </c>
      <c r="AD138" s="388" t="e">
        <f t="shared" si="41"/>
        <v>#REF!</v>
      </c>
      <c r="AE138" s="388" t="e">
        <f t="shared" si="41"/>
        <v>#REF!</v>
      </c>
      <c r="AF138" s="388" t="e">
        <f t="shared" si="41"/>
        <v>#REF!</v>
      </c>
      <c r="AG138" s="388" t="e">
        <f t="shared" si="41"/>
        <v>#REF!</v>
      </c>
      <c r="AH138" s="388" t="e">
        <f t="shared" si="41"/>
        <v>#REF!</v>
      </c>
      <c r="AI138" s="388" t="e">
        <f t="shared" si="41"/>
        <v>#REF!</v>
      </c>
      <c r="AJ138" s="388" t="e">
        <f t="shared" si="41"/>
        <v>#REF!</v>
      </c>
      <c r="AK138" s="388" t="e">
        <f t="shared" si="41"/>
        <v>#REF!</v>
      </c>
      <c r="AL138" s="388" t="e">
        <f t="shared" si="41"/>
        <v>#REF!</v>
      </c>
      <c r="AM138" s="388" t="e">
        <f t="shared" si="41"/>
        <v>#REF!</v>
      </c>
      <c r="AN138" s="389" t="e">
        <f t="shared" si="41"/>
        <v>#REF!</v>
      </c>
    </row>
    <row r="139" spans="1:40" ht="12.75" outlineLevel="2">
      <c r="A139" s="382" t="s">
        <v>235</v>
      </c>
      <c r="B139" s="382"/>
      <c r="C139" s="382"/>
      <c r="D139" s="382"/>
      <c r="E139" s="382"/>
      <c r="F139" s="394" t="s">
        <v>236</v>
      </c>
      <c r="G139" s="384"/>
      <c r="H139" s="385"/>
      <c r="I139" s="385"/>
      <c r="J139" s="386"/>
      <c r="K139" s="387" t="str">
        <f aca="true" t="shared" si="42" ref="K139:AN139">IF(K83&gt;=K84,"OK","BŁĄD")</f>
        <v>OK</v>
      </c>
      <c r="L139" s="388" t="str">
        <f t="shared" si="42"/>
        <v>OK</v>
      </c>
      <c r="M139" s="388" t="str">
        <f t="shared" si="42"/>
        <v>OK</v>
      </c>
      <c r="N139" s="388" t="str">
        <f t="shared" si="42"/>
        <v>OK</v>
      </c>
      <c r="O139" s="388" t="str">
        <f t="shared" si="42"/>
        <v>OK</v>
      </c>
      <c r="P139" s="388" t="str">
        <f t="shared" si="42"/>
        <v>OK</v>
      </c>
      <c r="Q139" s="388" t="str">
        <f t="shared" si="42"/>
        <v>OK</v>
      </c>
      <c r="R139" s="388" t="str">
        <f t="shared" si="42"/>
        <v>OK</v>
      </c>
      <c r="S139" s="388" t="str">
        <f t="shared" si="42"/>
        <v>OK</v>
      </c>
      <c r="T139" s="388" t="str">
        <f t="shared" si="42"/>
        <v>OK</v>
      </c>
      <c r="U139" s="388" t="e">
        <f t="shared" si="42"/>
        <v>#REF!</v>
      </c>
      <c r="V139" s="388" t="e">
        <f t="shared" si="42"/>
        <v>#REF!</v>
      </c>
      <c r="W139" s="388" t="e">
        <f t="shared" si="42"/>
        <v>#REF!</v>
      </c>
      <c r="X139" s="388" t="e">
        <f t="shared" si="42"/>
        <v>#REF!</v>
      </c>
      <c r="Y139" s="388" t="e">
        <f t="shared" si="42"/>
        <v>#REF!</v>
      </c>
      <c r="Z139" s="388" t="e">
        <f t="shared" si="42"/>
        <v>#REF!</v>
      </c>
      <c r="AA139" s="388" t="e">
        <f t="shared" si="42"/>
        <v>#REF!</v>
      </c>
      <c r="AB139" s="388" t="e">
        <f t="shared" si="42"/>
        <v>#REF!</v>
      </c>
      <c r="AC139" s="388" t="e">
        <f t="shared" si="42"/>
        <v>#REF!</v>
      </c>
      <c r="AD139" s="388" t="e">
        <f t="shared" si="42"/>
        <v>#REF!</v>
      </c>
      <c r="AE139" s="388" t="e">
        <f t="shared" si="42"/>
        <v>#REF!</v>
      </c>
      <c r="AF139" s="388" t="e">
        <f t="shared" si="42"/>
        <v>#REF!</v>
      </c>
      <c r="AG139" s="388" t="e">
        <f t="shared" si="42"/>
        <v>#REF!</v>
      </c>
      <c r="AH139" s="388" t="e">
        <f t="shared" si="42"/>
        <v>#REF!</v>
      </c>
      <c r="AI139" s="388" t="e">
        <f t="shared" si="42"/>
        <v>#REF!</v>
      </c>
      <c r="AJ139" s="388" t="e">
        <f t="shared" si="42"/>
        <v>#REF!</v>
      </c>
      <c r="AK139" s="388" t="e">
        <f t="shared" si="42"/>
        <v>#REF!</v>
      </c>
      <c r="AL139" s="388" t="e">
        <f t="shared" si="42"/>
        <v>#REF!</v>
      </c>
      <c r="AM139" s="388" t="e">
        <f t="shared" si="42"/>
        <v>#REF!</v>
      </c>
      <c r="AN139" s="389" t="e">
        <f t="shared" si="42"/>
        <v>#REF!</v>
      </c>
    </row>
    <row r="140" spans="1:40" ht="12.75" outlineLevel="2">
      <c r="A140" s="382" t="s">
        <v>237</v>
      </c>
      <c r="B140" s="382"/>
      <c r="C140" s="382"/>
      <c r="D140" s="382"/>
      <c r="E140" s="382"/>
      <c r="F140" s="394" t="s">
        <v>238</v>
      </c>
      <c r="G140" s="384"/>
      <c r="H140" s="385"/>
      <c r="I140" s="385"/>
      <c r="J140" s="386"/>
      <c r="K140" s="387" t="str">
        <f aca="true" t="shared" si="43" ref="K140:AN140">IF(K83&gt;=K85,"OK","BŁĄD")</f>
        <v>OK</v>
      </c>
      <c r="L140" s="388" t="str">
        <f t="shared" si="43"/>
        <v>OK</v>
      </c>
      <c r="M140" s="388" t="str">
        <f t="shared" si="43"/>
        <v>OK</v>
      </c>
      <c r="N140" s="388" t="str">
        <f t="shared" si="43"/>
        <v>OK</v>
      </c>
      <c r="O140" s="388" t="str">
        <f t="shared" si="43"/>
        <v>OK</v>
      </c>
      <c r="P140" s="388" t="str">
        <f t="shared" si="43"/>
        <v>OK</v>
      </c>
      <c r="Q140" s="388" t="str">
        <f t="shared" si="43"/>
        <v>OK</v>
      </c>
      <c r="R140" s="388" t="str">
        <f t="shared" si="43"/>
        <v>OK</v>
      </c>
      <c r="S140" s="388" t="str">
        <f t="shared" si="43"/>
        <v>OK</v>
      </c>
      <c r="T140" s="388" t="str">
        <f t="shared" si="43"/>
        <v>OK</v>
      </c>
      <c r="U140" s="388" t="e">
        <f t="shared" si="43"/>
        <v>#REF!</v>
      </c>
      <c r="V140" s="388" t="e">
        <f t="shared" si="43"/>
        <v>#REF!</v>
      </c>
      <c r="W140" s="388" t="e">
        <f t="shared" si="43"/>
        <v>#REF!</v>
      </c>
      <c r="X140" s="388" t="e">
        <f t="shared" si="43"/>
        <v>#REF!</v>
      </c>
      <c r="Y140" s="388" t="e">
        <f t="shared" si="43"/>
        <v>#REF!</v>
      </c>
      <c r="Z140" s="388" t="e">
        <f t="shared" si="43"/>
        <v>#REF!</v>
      </c>
      <c r="AA140" s="388" t="e">
        <f t="shared" si="43"/>
        <v>#REF!</v>
      </c>
      <c r="AB140" s="388" t="e">
        <f t="shared" si="43"/>
        <v>#REF!</v>
      </c>
      <c r="AC140" s="388" t="e">
        <f t="shared" si="43"/>
        <v>#REF!</v>
      </c>
      <c r="AD140" s="388" t="e">
        <f t="shared" si="43"/>
        <v>#REF!</v>
      </c>
      <c r="AE140" s="388" t="e">
        <f t="shared" si="43"/>
        <v>#REF!</v>
      </c>
      <c r="AF140" s="388" t="e">
        <f t="shared" si="43"/>
        <v>#REF!</v>
      </c>
      <c r="AG140" s="388" t="e">
        <f t="shared" si="43"/>
        <v>#REF!</v>
      </c>
      <c r="AH140" s="388" t="e">
        <f t="shared" si="43"/>
        <v>#REF!</v>
      </c>
      <c r="AI140" s="388" t="e">
        <f t="shared" si="43"/>
        <v>#REF!</v>
      </c>
      <c r="AJ140" s="388" t="e">
        <f t="shared" si="43"/>
        <v>#REF!</v>
      </c>
      <c r="AK140" s="388" t="e">
        <f t="shared" si="43"/>
        <v>#REF!</v>
      </c>
      <c r="AL140" s="388" t="e">
        <f t="shared" si="43"/>
        <v>#REF!</v>
      </c>
      <c r="AM140" s="388" t="e">
        <f t="shared" si="43"/>
        <v>#REF!</v>
      </c>
      <c r="AN140" s="389" t="e">
        <f t="shared" si="43"/>
        <v>#REF!</v>
      </c>
    </row>
    <row r="141" spans="1:40" ht="12.75" outlineLevel="2">
      <c r="A141" s="382" t="s">
        <v>239</v>
      </c>
      <c r="B141" s="382"/>
      <c r="C141" s="382"/>
      <c r="D141" s="382"/>
      <c r="E141" s="382"/>
      <c r="F141" s="394" t="s">
        <v>240</v>
      </c>
      <c r="G141" s="384"/>
      <c r="H141" s="385"/>
      <c r="I141" s="385"/>
      <c r="J141" s="386"/>
      <c r="K141" s="387" t="str">
        <f aca="true" t="shared" si="44" ref="K141:AN141">IF(K86&gt;=K87,"OK","BŁĄD")</f>
        <v>OK</v>
      </c>
      <c r="L141" s="388" t="str">
        <f t="shared" si="44"/>
        <v>OK</v>
      </c>
      <c r="M141" s="388" t="str">
        <f t="shared" si="44"/>
        <v>OK</v>
      </c>
      <c r="N141" s="388" t="str">
        <f t="shared" si="44"/>
        <v>OK</v>
      </c>
      <c r="O141" s="388" t="str">
        <f t="shared" si="44"/>
        <v>OK</v>
      </c>
      <c r="P141" s="388" t="str">
        <f t="shared" si="44"/>
        <v>OK</v>
      </c>
      <c r="Q141" s="388" t="str">
        <f t="shared" si="44"/>
        <v>OK</v>
      </c>
      <c r="R141" s="388" t="str">
        <f t="shared" si="44"/>
        <v>OK</v>
      </c>
      <c r="S141" s="388" t="str">
        <f t="shared" si="44"/>
        <v>OK</v>
      </c>
      <c r="T141" s="388" t="str">
        <f t="shared" si="44"/>
        <v>OK</v>
      </c>
      <c r="U141" s="388" t="e">
        <f t="shared" si="44"/>
        <v>#REF!</v>
      </c>
      <c r="V141" s="388" t="e">
        <f t="shared" si="44"/>
        <v>#REF!</v>
      </c>
      <c r="W141" s="388" t="e">
        <f t="shared" si="44"/>
        <v>#REF!</v>
      </c>
      <c r="X141" s="388" t="e">
        <f t="shared" si="44"/>
        <v>#REF!</v>
      </c>
      <c r="Y141" s="388" t="e">
        <f t="shared" si="44"/>
        <v>#REF!</v>
      </c>
      <c r="Z141" s="388" t="e">
        <f t="shared" si="44"/>
        <v>#REF!</v>
      </c>
      <c r="AA141" s="388" t="e">
        <f t="shared" si="44"/>
        <v>#REF!</v>
      </c>
      <c r="AB141" s="388" t="e">
        <f t="shared" si="44"/>
        <v>#REF!</v>
      </c>
      <c r="AC141" s="388" t="e">
        <f t="shared" si="44"/>
        <v>#REF!</v>
      </c>
      <c r="AD141" s="388" t="e">
        <f t="shared" si="44"/>
        <v>#REF!</v>
      </c>
      <c r="AE141" s="388" t="e">
        <f t="shared" si="44"/>
        <v>#REF!</v>
      </c>
      <c r="AF141" s="388" t="e">
        <f t="shared" si="44"/>
        <v>#REF!</v>
      </c>
      <c r="AG141" s="388" t="e">
        <f t="shared" si="44"/>
        <v>#REF!</v>
      </c>
      <c r="AH141" s="388" t="e">
        <f t="shared" si="44"/>
        <v>#REF!</v>
      </c>
      <c r="AI141" s="388" t="e">
        <f t="shared" si="44"/>
        <v>#REF!</v>
      </c>
      <c r="AJ141" s="388" t="e">
        <f t="shared" si="44"/>
        <v>#REF!</v>
      </c>
      <c r="AK141" s="388" t="e">
        <f t="shared" si="44"/>
        <v>#REF!</v>
      </c>
      <c r="AL141" s="388" t="e">
        <f t="shared" si="44"/>
        <v>#REF!</v>
      </c>
      <c r="AM141" s="388" t="e">
        <f t="shared" si="44"/>
        <v>#REF!</v>
      </c>
      <c r="AN141" s="389" t="e">
        <f t="shared" si="44"/>
        <v>#REF!</v>
      </c>
    </row>
    <row r="142" spans="1:40" ht="12.75" outlineLevel="2">
      <c r="A142" s="382" t="s">
        <v>241</v>
      </c>
      <c r="B142" s="382"/>
      <c r="C142" s="382"/>
      <c r="D142" s="382"/>
      <c r="E142" s="382"/>
      <c r="F142" s="394" t="s">
        <v>242</v>
      </c>
      <c r="G142" s="384"/>
      <c r="H142" s="385"/>
      <c r="I142" s="385"/>
      <c r="J142" s="386"/>
      <c r="K142" s="387" t="str">
        <f aca="true" t="shared" si="45" ref="K142:AN142">IF(K86&gt;=K88,"OK","BŁĄD")</f>
        <v>OK</v>
      </c>
      <c r="L142" s="388" t="str">
        <f t="shared" si="45"/>
        <v>OK</v>
      </c>
      <c r="M142" s="388" t="str">
        <f t="shared" si="45"/>
        <v>OK</v>
      </c>
      <c r="N142" s="388" t="str">
        <f t="shared" si="45"/>
        <v>OK</v>
      </c>
      <c r="O142" s="388" t="str">
        <f t="shared" si="45"/>
        <v>OK</v>
      </c>
      <c r="P142" s="388" t="str">
        <f t="shared" si="45"/>
        <v>OK</v>
      </c>
      <c r="Q142" s="388" t="str">
        <f t="shared" si="45"/>
        <v>OK</v>
      </c>
      <c r="R142" s="388" t="str">
        <f t="shared" si="45"/>
        <v>OK</v>
      </c>
      <c r="S142" s="388" t="str">
        <f t="shared" si="45"/>
        <v>OK</v>
      </c>
      <c r="T142" s="388" t="str">
        <f t="shared" si="45"/>
        <v>OK</v>
      </c>
      <c r="U142" s="388" t="e">
        <f t="shared" si="45"/>
        <v>#REF!</v>
      </c>
      <c r="V142" s="388" t="e">
        <f t="shared" si="45"/>
        <v>#REF!</v>
      </c>
      <c r="W142" s="388" t="e">
        <f t="shared" si="45"/>
        <v>#REF!</v>
      </c>
      <c r="X142" s="388" t="e">
        <f t="shared" si="45"/>
        <v>#REF!</v>
      </c>
      <c r="Y142" s="388" t="e">
        <f t="shared" si="45"/>
        <v>#REF!</v>
      </c>
      <c r="Z142" s="388" t="e">
        <f t="shared" si="45"/>
        <v>#REF!</v>
      </c>
      <c r="AA142" s="388" t="e">
        <f t="shared" si="45"/>
        <v>#REF!</v>
      </c>
      <c r="AB142" s="388" t="e">
        <f t="shared" si="45"/>
        <v>#REF!</v>
      </c>
      <c r="AC142" s="388" t="e">
        <f t="shared" si="45"/>
        <v>#REF!</v>
      </c>
      <c r="AD142" s="388" t="e">
        <f t="shared" si="45"/>
        <v>#REF!</v>
      </c>
      <c r="AE142" s="388" t="e">
        <f t="shared" si="45"/>
        <v>#REF!</v>
      </c>
      <c r="AF142" s="388" t="e">
        <f t="shared" si="45"/>
        <v>#REF!</v>
      </c>
      <c r="AG142" s="388" t="e">
        <f t="shared" si="45"/>
        <v>#REF!</v>
      </c>
      <c r="AH142" s="388" t="e">
        <f t="shared" si="45"/>
        <v>#REF!</v>
      </c>
      <c r="AI142" s="388" t="e">
        <f t="shared" si="45"/>
        <v>#REF!</v>
      </c>
      <c r="AJ142" s="388" t="e">
        <f t="shared" si="45"/>
        <v>#REF!</v>
      </c>
      <c r="AK142" s="388" t="e">
        <f t="shared" si="45"/>
        <v>#REF!</v>
      </c>
      <c r="AL142" s="388" t="e">
        <f t="shared" si="45"/>
        <v>#REF!</v>
      </c>
      <c r="AM142" s="388" t="e">
        <f t="shared" si="45"/>
        <v>#REF!</v>
      </c>
      <c r="AN142" s="389" t="e">
        <f t="shared" si="45"/>
        <v>#REF!</v>
      </c>
    </row>
    <row r="143" spans="1:40" ht="12.75" outlineLevel="2">
      <c r="A143" s="382" t="s">
        <v>243</v>
      </c>
      <c r="B143" s="382"/>
      <c r="C143" s="382"/>
      <c r="D143" s="382"/>
      <c r="E143" s="382"/>
      <c r="F143" s="394" t="s">
        <v>244</v>
      </c>
      <c r="G143" s="384"/>
      <c r="H143" s="385"/>
      <c r="I143" s="385"/>
      <c r="J143" s="386"/>
      <c r="K143" s="387" t="str">
        <f aca="true" t="shared" si="46" ref="K143:AN143">IF(K90&gt;=K92,"OK","BŁĄD")</f>
        <v>OK</v>
      </c>
      <c r="L143" s="388" t="str">
        <f t="shared" si="46"/>
        <v>OK</v>
      </c>
      <c r="M143" s="388" t="str">
        <f t="shared" si="46"/>
        <v>OK</v>
      </c>
      <c r="N143" s="388" t="str">
        <f t="shared" si="46"/>
        <v>OK</v>
      </c>
      <c r="O143" s="388" t="str">
        <f t="shared" si="46"/>
        <v>OK</v>
      </c>
      <c r="P143" s="388" t="str">
        <f t="shared" si="46"/>
        <v>OK</v>
      </c>
      <c r="Q143" s="388" t="str">
        <f t="shared" si="46"/>
        <v>OK</v>
      </c>
      <c r="R143" s="388" t="str">
        <f t="shared" si="46"/>
        <v>OK</v>
      </c>
      <c r="S143" s="388" t="str">
        <f t="shared" si="46"/>
        <v>OK</v>
      </c>
      <c r="T143" s="388" t="str">
        <f t="shared" si="46"/>
        <v>OK</v>
      </c>
      <c r="U143" s="388" t="e">
        <f t="shared" si="46"/>
        <v>#REF!</v>
      </c>
      <c r="V143" s="388" t="e">
        <f t="shared" si="46"/>
        <v>#REF!</v>
      </c>
      <c r="W143" s="388" t="e">
        <f t="shared" si="46"/>
        <v>#REF!</v>
      </c>
      <c r="X143" s="388" t="e">
        <f t="shared" si="46"/>
        <v>#REF!</v>
      </c>
      <c r="Y143" s="388" t="e">
        <f t="shared" si="46"/>
        <v>#REF!</v>
      </c>
      <c r="Z143" s="388" t="e">
        <f t="shared" si="46"/>
        <v>#REF!</v>
      </c>
      <c r="AA143" s="388" t="e">
        <f t="shared" si="46"/>
        <v>#REF!</v>
      </c>
      <c r="AB143" s="388" t="e">
        <f t="shared" si="46"/>
        <v>#REF!</v>
      </c>
      <c r="AC143" s="388" t="e">
        <f t="shared" si="46"/>
        <v>#REF!</v>
      </c>
      <c r="AD143" s="388" t="e">
        <f t="shared" si="46"/>
        <v>#REF!</v>
      </c>
      <c r="AE143" s="388" t="e">
        <f t="shared" si="46"/>
        <v>#REF!</v>
      </c>
      <c r="AF143" s="388" t="e">
        <f t="shared" si="46"/>
        <v>#REF!</v>
      </c>
      <c r="AG143" s="388" t="e">
        <f t="shared" si="46"/>
        <v>#REF!</v>
      </c>
      <c r="AH143" s="388" t="e">
        <f t="shared" si="46"/>
        <v>#REF!</v>
      </c>
      <c r="AI143" s="388" t="e">
        <f t="shared" si="46"/>
        <v>#REF!</v>
      </c>
      <c r="AJ143" s="388" t="e">
        <f t="shared" si="46"/>
        <v>#REF!</v>
      </c>
      <c r="AK143" s="388" t="e">
        <f t="shared" si="46"/>
        <v>#REF!</v>
      </c>
      <c r="AL143" s="388" t="e">
        <f t="shared" si="46"/>
        <v>#REF!</v>
      </c>
      <c r="AM143" s="388" t="e">
        <f t="shared" si="46"/>
        <v>#REF!</v>
      </c>
      <c r="AN143" s="389" t="e">
        <f t="shared" si="46"/>
        <v>#REF!</v>
      </c>
    </row>
    <row r="144" spans="1:40" ht="12.75" outlineLevel="2">
      <c r="A144" s="382" t="s">
        <v>245</v>
      </c>
      <c r="B144" s="382"/>
      <c r="C144" s="382"/>
      <c r="D144" s="382"/>
      <c r="E144" s="382"/>
      <c r="F144" s="394" t="s">
        <v>246</v>
      </c>
      <c r="G144" s="384"/>
      <c r="H144" s="385"/>
      <c r="I144" s="385"/>
      <c r="J144" s="386"/>
      <c r="K144" s="387" t="str">
        <f aca="true" t="shared" si="47" ref="K144:AN144">IF(K93&gt;=K25,"OK","BŁĄD")</f>
        <v>OK</v>
      </c>
      <c r="L144" s="388" t="str">
        <f t="shared" si="47"/>
        <v>OK</v>
      </c>
      <c r="M144" s="388" t="str">
        <f t="shared" si="47"/>
        <v>OK</v>
      </c>
      <c r="N144" s="388" t="str">
        <f t="shared" si="47"/>
        <v>OK</v>
      </c>
      <c r="O144" s="388" t="str">
        <f t="shared" si="47"/>
        <v>OK</v>
      </c>
      <c r="P144" s="388" t="str">
        <f t="shared" si="47"/>
        <v>OK</v>
      </c>
      <c r="Q144" s="388" t="str">
        <f t="shared" si="47"/>
        <v>OK</v>
      </c>
      <c r="R144" s="388" t="str">
        <f t="shared" si="47"/>
        <v>OK</v>
      </c>
      <c r="S144" s="388" t="str">
        <f t="shared" si="47"/>
        <v>OK</v>
      </c>
      <c r="T144" s="388" t="str">
        <f t="shared" si="47"/>
        <v>OK</v>
      </c>
      <c r="U144" s="388" t="e">
        <f t="shared" si="47"/>
        <v>#REF!</v>
      </c>
      <c r="V144" s="388" t="e">
        <f t="shared" si="47"/>
        <v>#REF!</v>
      </c>
      <c r="W144" s="388" t="e">
        <f t="shared" si="47"/>
        <v>#REF!</v>
      </c>
      <c r="X144" s="388" t="e">
        <f t="shared" si="47"/>
        <v>#REF!</v>
      </c>
      <c r="Y144" s="388" t="e">
        <f t="shared" si="47"/>
        <v>#REF!</v>
      </c>
      <c r="Z144" s="388" t="e">
        <f t="shared" si="47"/>
        <v>#REF!</v>
      </c>
      <c r="AA144" s="388" t="e">
        <f t="shared" si="47"/>
        <v>#REF!</v>
      </c>
      <c r="AB144" s="388" t="e">
        <f t="shared" si="47"/>
        <v>#REF!</v>
      </c>
      <c r="AC144" s="388" t="e">
        <f t="shared" si="47"/>
        <v>#REF!</v>
      </c>
      <c r="AD144" s="388" t="e">
        <f t="shared" si="47"/>
        <v>#REF!</v>
      </c>
      <c r="AE144" s="388" t="e">
        <f t="shared" si="47"/>
        <v>#REF!</v>
      </c>
      <c r="AF144" s="388" t="e">
        <f t="shared" si="47"/>
        <v>#REF!</v>
      </c>
      <c r="AG144" s="388" t="e">
        <f t="shared" si="47"/>
        <v>#REF!</v>
      </c>
      <c r="AH144" s="388" t="e">
        <f t="shared" si="47"/>
        <v>#REF!</v>
      </c>
      <c r="AI144" s="388" t="e">
        <f t="shared" si="47"/>
        <v>#REF!</v>
      </c>
      <c r="AJ144" s="388" t="e">
        <f t="shared" si="47"/>
        <v>#REF!</v>
      </c>
      <c r="AK144" s="388" t="e">
        <f t="shared" si="47"/>
        <v>#REF!</v>
      </c>
      <c r="AL144" s="388" t="e">
        <f t="shared" si="47"/>
        <v>#REF!</v>
      </c>
      <c r="AM144" s="388" t="e">
        <f t="shared" si="47"/>
        <v>#REF!</v>
      </c>
      <c r="AN144" s="389" t="e">
        <f t="shared" si="47"/>
        <v>#REF!</v>
      </c>
    </row>
    <row r="145" spans="1:40" ht="12.75" outlineLevel="2">
      <c r="A145" s="382" t="s">
        <v>247</v>
      </c>
      <c r="B145" s="382"/>
      <c r="C145" s="382"/>
      <c r="D145" s="382"/>
      <c r="E145" s="382"/>
      <c r="F145" s="394" t="s">
        <v>248</v>
      </c>
      <c r="G145" s="384"/>
      <c r="H145" s="385"/>
      <c r="I145" s="385"/>
      <c r="J145" s="386"/>
      <c r="K145" s="387" t="str">
        <f aca="true" t="shared" si="48" ref="K145:AN145">IF(K100&gt;=(K101+K102+K103),"OK","BŁĄD")</f>
        <v>OK</v>
      </c>
      <c r="L145" s="388" t="str">
        <f t="shared" si="48"/>
        <v>OK</v>
      </c>
      <c r="M145" s="388" t="str">
        <f t="shared" si="48"/>
        <v>OK</v>
      </c>
      <c r="N145" s="388" t="str">
        <f t="shared" si="48"/>
        <v>OK</v>
      </c>
      <c r="O145" s="388" t="str">
        <f t="shared" si="48"/>
        <v>OK</v>
      </c>
      <c r="P145" s="388" t="str">
        <f t="shared" si="48"/>
        <v>OK</v>
      </c>
      <c r="Q145" s="388" t="str">
        <f t="shared" si="48"/>
        <v>OK</v>
      </c>
      <c r="R145" s="388" t="str">
        <f t="shared" si="48"/>
        <v>OK</v>
      </c>
      <c r="S145" s="388" t="str">
        <f t="shared" si="48"/>
        <v>OK</v>
      </c>
      <c r="T145" s="388" t="str">
        <f t="shared" si="48"/>
        <v>OK</v>
      </c>
      <c r="U145" s="388" t="e">
        <f t="shared" si="48"/>
        <v>#REF!</v>
      </c>
      <c r="V145" s="388" t="e">
        <f t="shared" si="48"/>
        <v>#REF!</v>
      </c>
      <c r="W145" s="388" t="e">
        <f t="shared" si="48"/>
        <v>#REF!</v>
      </c>
      <c r="X145" s="388" t="e">
        <f t="shared" si="48"/>
        <v>#REF!</v>
      </c>
      <c r="Y145" s="388" t="e">
        <f t="shared" si="48"/>
        <v>#REF!</v>
      </c>
      <c r="Z145" s="388" t="e">
        <f t="shared" si="48"/>
        <v>#REF!</v>
      </c>
      <c r="AA145" s="388" t="e">
        <f t="shared" si="48"/>
        <v>#REF!</v>
      </c>
      <c r="AB145" s="388" t="e">
        <f t="shared" si="48"/>
        <v>#REF!</v>
      </c>
      <c r="AC145" s="388" t="e">
        <f t="shared" si="48"/>
        <v>#REF!</v>
      </c>
      <c r="AD145" s="388" t="e">
        <f t="shared" si="48"/>
        <v>#REF!</v>
      </c>
      <c r="AE145" s="388" t="e">
        <f t="shared" si="48"/>
        <v>#REF!</v>
      </c>
      <c r="AF145" s="388" t="e">
        <f t="shared" si="48"/>
        <v>#REF!</v>
      </c>
      <c r="AG145" s="388" t="e">
        <f t="shared" si="48"/>
        <v>#REF!</v>
      </c>
      <c r="AH145" s="388" t="e">
        <f t="shared" si="48"/>
        <v>#REF!</v>
      </c>
      <c r="AI145" s="388" t="e">
        <f t="shared" si="48"/>
        <v>#REF!</v>
      </c>
      <c r="AJ145" s="388" t="e">
        <f t="shared" si="48"/>
        <v>#REF!</v>
      </c>
      <c r="AK145" s="388" t="e">
        <f t="shared" si="48"/>
        <v>#REF!</v>
      </c>
      <c r="AL145" s="388" t="e">
        <f t="shared" si="48"/>
        <v>#REF!</v>
      </c>
      <c r="AM145" s="388" t="e">
        <f t="shared" si="48"/>
        <v>#REF!</v>
      </c>
      <c r="AN145" s="389" t="e">
        <f t="shared" si="48"/>
        <v>#REF!</v>
      </c>
    </row>
    <row r="146" spans="1:40" ht="12.75" outlineLevel="2">
      <c r="A146" s="382" t="s">
        <v>249</v>
      </c>
      <c r="B146" s="382"/>
      <c r="C146" s="382"/>
      <c r="D146" s="382"/>
      <c r="E146" s="382"/>
      <c r="F146" s="394" t="s">
        <v>250</v>
      </c>
      <c r="G146" s="384"/>
      <c r="H146" s="385"/>
      <c r="I146" s="385"/>
      <c r="J146" s="386"/>
      <c r="K146" s="387" t="str">
        <f aca="true" t="shared" si="49" ref="K146:AN146">IF(K23&gt;=K24,"OK","BŁĄD")</f>
        <v>OK</v>
      </c>
      <c r="L146" s="388" t="str">
        <f t="shared" si="49"/>
        <v>OK</v>
      </c>
      <c r="M146" s="388" t="str">
        <f t="shared" si="49"/>
        <v>OK</v>
      </c>
      <c r="N146" s="388" t="str">
        <f t="shared" si="49"/>
        <v>OK</v>
      </c>
      <c r="O146" s="388" t="str">
        <f t="shared" si="49"/>
        <v>OK</v>
      </c>
      <c r="P146" s="388" t="str">
        <f t="shared" si="49"/>
        <v>OK</v>
      </c>
      <c r="Q146" s="388" t="str">
        <f t="shared" si="49"/>
        <v>OK</v>
      </c>
      <c r="R146" s="388" t="str">
        <f t="shared" si="49"/>
        <v>OK</v>
      </c>
      <c r="S146" s="388" t="str">
        <f t="shared" si="49"/>
        <v>OK</v>
      </c>
      <c r="T146" s="388" t="str">
        <f t="shared" si="49"/>
        <v>OK</v>
      </c>
      <c r="U146" s="388" t="e">
        <f t="shared" si="49"/>
        <v>#REF!</v>
      </c>
      <c r="V146" s="388" t="e">
        <f t="shared" si="49"/>
        <v>#REF!</v>
      </c>
      <c r="W146" s="388" t="e">
        <f t="shared" si="49"/>
        <v>#REF!</v>
      </c>
      <c r="X146" s="388" t="e">
        <f t="shared" si="49"/>
        <v>#REF!</v>
      </c>
      <c r="Y146" s="388" t="e">
        <f t="shared" si="49"/>
        <v>#REF!</v>
      </c>
      <c r="Z146" s="388" t="e">
        <f t="shared" si="49"/>
        <v>#REF!</v>
      </c>
      <c r="AA146" s="388" t="e">
        <f t="shared" si="49"/>
        <v>#REF!</v>
      </c>
      <c r="AB146" s="388" t="e">
        <f t="shared" si="49"/>
        <v>#REF!</v>
      </c>
      <c r="AC146" s="388" t="e">
        <f t="shared" si="49"/>
        <v>#REF!</v>
      </c>
      <c r="AD146" s="388" t="e">
        <f t="shared" si="49"/>
        <v>#REF!</v>
      </c>
      <c r="AE146" s="388" t="e">
        <f t="shared" si="49"/>
        <v>#REF!</v>
      </c>
      <c r="AF146" s="388" t="e">
        <f t="shared" si="49"/>
        <v>#REF!</v>
      </c>
      <c r="AG146" s="388" t="e">
        <f t="shared" si="49"/>
        <v>#REF!</v>
      </c>
      <c r="AH146" s="388" t="e">
        <f t="shared" si="49"/>
        <v>#REF!</v>
      </c>
      <c r="AI146" s="388" t="e">
        <f t="shared" si="49"/>
        <v>#REF!</v>
      </c>
      <c r="AJ146" s="388" t="e">
        <f t="shared" si="49"/>
        <v>#REF!</v>
      </c>
      <c r="AK146" s="388" t="e">
        <f t="shared" si="49"/>
        <v>#REF!</v>
      </c>
      <c r="AL146" s="388" t="e">
        <f t="shared" si="49"/>
        <v>#REF!</v>
      </c>
      <c r="AM146" s="388" t="e">
        <f t="shared" si="49"/>
        <v>#REF!</v>
      </c>
      <c r="AN146" s="389" t="e">
        <f t="shared" si="49"/>
        <v>#REF!</v>
      </c>
    </row>
    <row r="147" spans="1:40" ht="12.75" outlineLevel="2">
      <c r="A147" s="382" t="s">
        <v>251</v>
      </c>
      <c r="B147" s="382"/>
      <c r="C147" s="382"/>
      <c r="D147" s="382"/>
      <c r="E147" s="382"/>
      <c r="F147" s="394" t="s">
        <v>252</v>
      </c>
      <c r="G147" s="384"/>
      <c r="H147" s="385"/>
      <c r="I147" s="385"/>
      <c r="J147" s="386"/>
      <c r="K147" s="387" t="str">
        <f aca="true" t="shared" si="50" ref="K147:AN147">IF(K23&gt;=K103,"OK","BŁĄD")</f>
        <v>OK</v>
      </c>
      <c r="L147" s="388" t="str">
        <f t="shared" si="50"/>
        <v>OK</v>
      </c>
      <c r="M147" s="388" t="str">
        <f t="shared" si="50"/>
        <v>OK</v>
      </c>
      <c r="N147" s="388" t="str">
        <f t="shared" si="50"/>
        <v>OK</v>
      </c>
      <c r="O147" s="388" t="str">
        <f t="shared" si="50"/>
        <v>OK</v>
      </c>
      <c r="P147" s="388" t="str">
        <f t="shared" si="50"/>
        <v>OK</v>
      </c>
      <c r="Q147" s="388" t="str">
        <f t="shared" si="50"/>
        <v>OK</v>
      </c>
      <c r="R147" s="388" t="str">
        <f t="shared" si="50"/>
        <v>OK</v>
      </c>
      <c r="S147" s="388" t="str">
        <f t="shared" si="50"/>
        <v>OK</v>
      </c>
      <c r="T147" s="388" t="str">
        <f t="shared" si="50"/>
        <v>OK</v>
      </c>
      <c r="U147" s="388" t="e">
        <f t="shared" si="50"/>
        <v>#REF!</v>
      </c>
      <c r="V147" s="388" t="e">
        <f t="shared" si="50"/>
        <v>#REF!</v>
      </c>
      <c r="W147" s="388" t="e">
        <f t="shared" si="50"/>
        <v>#REF!</v>
      </c>
      <c r="X147" s="388" t="e">
        <f t="shared" si="50"/>
        <v>#REF!</v>
      </c>
      <c r="Y147" s="388" t="e">
        <f t="shared" si="50"/>
        <v>#REF!</v>
      </c>
      <c r="Z147" s="388" t="e">
        <f t="shared" si="50"/>
        <v>#REF!</v>
      </c>
      <c r="AA147" s="388" t="e">
        <f t="shared" si="50"/>
        <v>#REF!</v>
      </c>
      <c r="AB147" s="388" t="e">
        <f t="shared" si="50"/>
        <v>#REF!</v>
      </c>
      <c r="AC147" s="388" t="e">
        <f t="shared" si="50"/>
        <v>#REF!</v>
      </c>
      <c r="AD147" s="388" t="e">
        <f t="shared" si="50"/>
        <v>#REF!</v>
      </c>
      <c r="AE147" s="388" t="e">
        <f t="shared" si="50"/>
        <v>#REF!</v>
      </c>
      <c r="AF147" s="388" t="e">
        <f t="shared" si="50"/>
        <v>#REF!</v>
      </c>
      <c r="AG147" s="388" t="e">
        <f t="shared" si="50"/>
        <v>#REF!</v>
      </c>
      <c r="AH147" s="388" t="e">
        <f t="shared" si="50"/>
        <v>#REF!</v>
      </c>
      <c r="AI147" s="388" t="e">
        <f t="shared" si="50"/>
        <v>#REF!</v>
      </c>
      <c r="AJ147" s="388" t="e">
        <f t="shared" si="50"/>
        <v>#REF!</v>
      </c>
      <c r="AK147" s="388" t="e">
        <f t="shared" si="50"/>
        <v>#REF!</v>
      </c>
      <c r="AL147" s="388" t="e">
        <f t="shared" si="50"/>
        <v>#REF!</v>
      </c>
      <c r="AM147" s="388" t="e">
        <f t="shared" si="50"/>
        <v>#REF!</v>
      </c>
      <c r="AN147" s="389" t="e">
        <f t="shared" si="50"/>
        <v>#REF!</v>
      </c>
    </row>
    <row r="148" spans="1:40" ht="12.75" outlineLevel="2">
      <c r="A148" s="382" t="s">
        <v>253</v>
      </c>
      <c r="B148" s="382"/>
      <c r="C148" s="382"/>
      <c r="D148" s="382"/>
      <c r="E148" s="382"/>
      <c r="F148" s="394" t="s">
        <v>254</v>
      </c>
      <c r="G148" s="384"/>
      <c r="H148" s="385"/>
      <c r="I148" s="385"/>
      <c r="J148" s="386"/>
      <c r="K148" s="387" t="str">
        <f aca="true" t="shared" si="51" ref="K148:AN148">IF(K26&gt;=K27,"OK","BŁĄD")</f>
        <v>OK</v>
      </c>
      <c r="L148" s="388" t="str">
        <f t="shared" si="51"/>
        <v>OK</v>
      </c>
      <c r="M148" s="388" t="str">
        <f t="shared" si="51"/>
        <v>OK</v>
      </c>
      <c r="N148" s="388" t="str">
        <f t="shared" si="51"/>
        <v>OK</v>
      </c>
      <c r="O148" s="388" t="str">
        <f t="shared" si="51"/>
        <v>OK</v>
      </c>
      <c r="P148" s="388" t="str">
        <f t="shared" si="51"/>
        <v>OK</v>
      </c>
      <c r="Q148" s="388" t="str">
        <f t="shared" si="51"/>
        <v>OK</v>
      </c>
      <c r="R148" s="388" t="str">
        <f t="shared" si="51"/>
        <v>OK</v>
      </c>
      <c r="S148" s="388" t="str">
        <f t="shared" si="51"/>
        <v>OK</v>
      </c>
      <c r="T148" s="388" t="str">
        <f t="shared" si="51"/>
        <v>OK</v>
      </c>
      <c r="U148" s="388" t="e">
        <f t="shared" si="51"/>
        <v>#REF!</v>
      </c>
      <c r="V148" s="388" t="e">
        <f t="shared" si="51"/>
        <v>#REF!</v>
      </c>
      <c r="W148" s="388" t="e">
        <f t="shared" si="51"/>
        <v>#REF!</v>
      </c>
      <c r="X148" s="388" t="e">
        <f t="shared" si="51"/>
        <v>#REF!</v>
      </c>
      <c r="Y148" s="388" t="e">
        <f t="shared" si="51"/>
        <v>#REF!</v>
      </c>
      <c r="Z148" s="388" t="e">
        <f t="shared" si="51"/>
        <v>#REF!</v>
      </c>
      <c r="AA148" s="388" t="e">
        <f t="shared" si="51"/>
        <v>#REF!</v>
      </c>
      <c r="AB148" s="388" t="e">
        <f t="shared" si="51"/>
        <v>#REF!</v>
      </c>
      <c r="AC148" s="388" t="e">
        <f t="shared" si="51"/>
        <v>#REF!</v>
      </c>
      <c r="AD148" s="388" t="e">
        <f t="shared" si="51"/>
        <v>#REF!</v>
      </c>
      <c r="AE148" s="388" t="e">
        <f t="shared" si="51"/>
        <v>#REF!</v>
      </c>
      <c r="AF148" s="388" t="e">
        <f t="shared" si="51"/>
        <v>#REF!</v>
      </c>
      <c r="AG148" s="388" t="e">
        <f t="shared" si="51"/>
        <v>#REF!</v>
      </c>
      <c r="AH148" s="388" t="e">
        <f t="shared" si="51"/>
        <v>#REF!</v>
      </c>
      <c r="AI148" s="388" t="e">
        <f t="shared" si="51"/>
        <v>#REF!</v>
      </c>
      <c r="AJ148" s="388" t="e">
        <f t="shared" si="51"/>
        <v>#REF!</v>
      </c>
      <c r="AK148" s="388" t="e">
        <f t="shared" si="51"/>
        <v>#REF!</v>
      </c>
      <c r="AL148" s="388" t="e">
        <f t="shared" si="51"/>
        <v>#REF!</v>
      </c>
      <c r="AM148" s="388" t="e">
        <f t="shared" si="51"/>
        <v>#REF!</v>
      </c>
      <c r="AN148" s="389" t="e">
        <f t="shared" si="51"/>
        <v>#REF!</v>
      </c>
    </row>
    <row r="149" spans="1:40" ht="12.75" outlineLevel="2">
      <c r="A149" s="382" t="s">
        <v>255</v>
      </c>
      <c r="B149" s="382"/>
      <c r="C149" s="382"/>
      <c r="D149" s="382"/>
      <c r="E149" s="382"/>
      <c r="F149" s="394" t="s">
        <v>256</v>
      </c>
      <c r="G149" s="384"/>
      <c r="H149" s="385"/>
      <c r="I149" s="385"/>
      <c r="J149" s="386"/>
      <c r="K149" s="387" t="str">
        <f aca="true" t="shared" si="52" ref="K149:AN149">IF(K22&gt;=(K23+K25+K26),"OK","BŁĄD")</f>
        <v>OK</v>
      </c>
      <c r="L149" s="388" t="str">
        <f t="shared" si="52"/>
        <v>OK</v>
      </c>
      <c r="M149" s="388" t="str">
        <f t="shared" si="52"/>
        <v>OK</v>
      </c>
      <c r="N149" s="388" t="str">
        <f t="shared" si="52"/>
        <v>OK</v>
      </c>
      <c r="O149" s="388" t="str">
        <f t="shared" si="52"/>
        <v>OK</v>
      </c>
      <c r="P149" s="388" t="str">
        <f t="shared" si="52"/>
        <v>OK</v>
      </c>
      <c r="Q149" s="388" t="str">
        <f t="shared" si="52"/>
        <v>OK</v>
      </c>
      <c r="R149" s="388" t="str">
        <f t="shared" si="52"/>
        <v>OK</v>
      </c>
      <c r="S149" s="388" t="str">
        <f t="shared" si="52"/>
        <v>OK</v>
      </c>
      <c r="T149" s="388" t="str">
        <f t="shared" si="52"/>
        <v>OK</v>
      </c>
      <c r="U149" s="388" t="e">
        <f t="shared" si="52"/>
        <v>#REF!</v>
      </c>
      <c r="V149" s="388" t="e">
        <f t="shared" si="52"/>
        <v>#REF!</v>
      </c>
      <c r="W149" s="388" t="e">
        <f t="shared" si="52"/>
        <v>#REF!</v>
      </c>
      <c r="X149" s="388" t="e">
        <f t="shared" si="52"/>
        <v>#REF!</v>
      </c>
      <c r="Y149" s="388" t="e">
        <f t="shared" si="52"/>
        <v>#REF!</v>
      </c>
      <c r="Z149" s="388" t="e">
        <f t="shared" si="52"/>
        <v>#REF!</v>
      </c>
      <c r="AA149" s="388" t="e">
        <f t="shared" si="52"/>
        <v>#REF!</v>
      </c>
      <c r="AB149" s="388" t="e">
        <f t="shared" si="52"/>
        <v>#REF!</v>
      </c>
      <c r="AC149" s="388" t="e">
        <f t="shared" si="52"/>
        <v>#REF!</v>
      </c>
      <c r="AD149" s="388" t="e">
        <f t="shared" si="52"/>
        <v>#REF!</v>
      </c>
      <c r="AE149" s="388" t="e">
        <f t="shared" si="52"/>
        <v>#REF!</v>
      </c>
      <c r="AF149" s="388" t="e">
        <f t="shared" si="52"/>
        <v>#REF!</v>
      </c>
      <c r="AG149" s="388" t="e">
        <f t="shared" si="52"/>
        <v>#REF!</v>
      </c>
      <c r="AH149" s="388" t="e">
        <f t="shared" si="52"/>
        <v>#REF!</v>
      </c>
      <c r="AI149" s="388" t="e">
        <f t="shared" si="52"/>
        <v>#REF!</v>
      </c>
      <c r="AJ149" s="388" t="e">
        <f t="shared" si="52"/>
        <v>#REF!</v>
      </c>
      <c r="AK149" s="388" t="e">
        <f t="shared" si="52"/>
        <v>#REF!</v>
      </c>
      <c r="AL149" s="388" t="e">
        <f t="shared" si="52"/>
        <v>#REF!</v>
      </c>
      <c r="AM149" s="388" t="e">
        <f t="shared" si="52"/>
        <v>#REF!</v>
      </c>
      <c r="AN149" s="389" t="e">
        <f t="shared" si="52"/>
        <v>#REF!</v>
      </c>
    </row>
    <row r="150" spans="1:40" ht="12.75" outlineLevel="2">
      <c r="A150" s="382" t="s">
        <v>257</v>
      </c>
      <c r="B150" s="382"/>
      <c r="C150" s="382"/>
      <c r="D150" s="382"/>
      <c r="E150" s="382"/>
      <c r="F150" s="394" t="s">
        <v>258</v>
      </c>
      <c r="G150" s="384"/>
      <c r="H150" s="385"/>
      <c r="I150" s="385"/>
      <c r="J150" s="386"/>
      <c r="K150" s="387" t="str">
        <f aca="true" t="shared" si="53" ref="K150:AN150">IF(K22&gt;=K68,"OK","BŁĄD")</f>
        <v>OK</v>
      </c>
      <c r="L150" s="388" t="str">
        <f t="shared" si="53"/>
        <v>OK</v>
      </c>
      <c r="M150" s="388" t="str">
        <f t="shared" si="53"/>
        <v>OK</v>
      </c>
      <c r="N150" s="388" t="str">
        <f t="shared" si="53"/>
        <v>OK</v>
      </c>
      <c r="O150" s="388" t="str">
        <f t="shared" si="53"/>
        <v>OK</v>
      </c>
      <c r="P150" s="388" t="str">
        <f t="shared" si="53"/>
        <v>OK</v>
      </c>
      <c r="Q150" s="388" t="str">
        <f t="shared" si="53"/>
        <v>OK</v>
      </c>
      <c r="R150" s="388" t="str">
        <f t="shared" si="53"/>
        <v>OK</v>
      </c>
      <c r="S150" s="388" t="str">
        <f t="shared" si="53"/>
        <v>OK</v>
      </c>
      <c r="T150" s="388" t="str">
        <f t="shared" si="53"/>
        <v>OK</v>
      </c>
      <c r="U150" s="388" t="e">
        <f t="shared" si="53"/>
        <v>#REF!</v>
      </c>
      <c r="V150" s="388" t="e">
        <f t="shared" si="53"/>
        <v>#REF!</v>
      </c>
      <c r="W150" s="388" t="e">
        <f t="shared" si="53"/>
        <v>#REF!</v>
      </c>
      <c r="X150" s="388" t="e">
        <f t="shared" si="53"/>
        <v>#REF!</v>
      </c>
      <c r="Y150" s="388" t="e">
        <f t="shared" si="53"/>
        <v>#REF!</v>
      </c>
      <c r="Z150" s="388" t="e">
        <f t="shared" si="53"/>
        <v>#REF!</v>
      </c>
      <c r="AA150" s="388" t="e">
        <f t="shared" si="53"/>
        <v>#REF!</v>
      </c>
      <c r="AB150" s="388" t="e">
        <f t="shared" si="53"/>
        <v>#REF!</v>
      </c>
      <c r="AC150" s="388" t="e">
        <f t="shared" si="53"/>
        <v>#REF!</v>
      </c>
      <c r="AD150" s="388" t="e">
        <f t="shared" si="53"/>
        <v>#REF!</v>
      </c>
      <c r="AE150" s="388" t="e">
        <f t="shared" si="53"/>
        <v>#REF!</v>
      </c>
      <c r="AF150" s="388" t="e">
        <f t="shared" si="53"/>
        <v>#REF!</v>
      </c>
      <c r="AG150" s="388" t="e">
        <f t="shared" si="53"/>
        <v>#REF!</v>
      </c>
      <c r="AH150" s="388" t="e">
        <f t="shared" si="53"/>
        <v>#REF!</v>
      </c>
      <c r="AI150" s="388" t="e">
        <f t="shared" si="53"/>
        <v>#REF!</v>
      </c>
      <c r="AJ150" s="388" t="e">
        <f t="shared" si="53"/>
        <v>#REF!</v>
      </c>
      <c r="AK150" s="388" t="e">
        <f t="shared" si="53"/>
        <v>#REF!</v>
      </c>
      <c r="AL150" s="388" t="e">
        <f t="shared" si="53"/>
        <v>#REF!</v>
      </c>
      <c r="AM150" s="388" t="e">
        <f t="shared" si="53"/>
        <v>#REF!</v>
      </c>
      <c r="AN150" s="389" t="e">
        <f t="shared" si="53"/>
        <v>#REF!</v>
      </c>
    </row>
    <row r="151" spans="1:40" ht="12.75" outlineLevel="2">
      <c r="A151" s="382" t="s">
        <v>259</v>
      </c>
      <c r="B151" s="382"/>
      <c r="C151" s="382"/>
      <c r="D151" s="382"/>
      <c r="E151" s="382"/>
      <c r="F151" s="394" t="s">
        <v>260</v>
      </c>
      <c r="G151" s="384"/>
      <c r="H151" s="385"/>
      <c r="I151" s="385"/>
      <c r="J151" s="386"/>
      <c r="K151" s="387" t="str">
        <f aca="true" t="shared" si="54" ref="K151:AN151">IF(K22&gt;=K71,"OK","BŁĄD")</f>
        <v>OK</v>
      </c>
      <c r="L151" s="388" t="str">
        <f t="shared" si="54"/>
        <v>OK</v>
      </c>
      <c r="M151" s="388" t="str">
        <f t="shared" si="54"/>
        <v>OK</v>
      </c>
      <c r="N151" s="388" t="str">
        <f t="shared" si="54"/>
        <v>OK</v>
      </c>
      <c r="O151" s="388" t="str">
        <f t="shared" si="54"/>
        <v>OK</v>
      </c>
      <c r="P151" s="388" t="str">
        <f t="shared" si="54"/>
        <v>OK</v>
      </c>
      <c r="Q151" s="388" t="str">
        <f t="shared" si="54"/>
        <v>OK</v>
      </c>
      <c r="R151" s="388" t="str">
        <f t="shared" si="54"/>
        <v>OK</v>
      </c>
      <c r="S151" s="388" t="str">
        <f t="shared" si="54"/>
        <v>OK</v>
      </c>
      <c r="T151" s="388" t="str">
        <f t="shared" si="54"/>
        <v>OK</v>
      </c>
      <c r="U151" s="388" t="e">
        <f t="shared" si="54"/>
        <v>#REF!</v>
      </c>
      <c r="V151" s="388" t="e">
        <f t="shared" si="54"/>
        <v>#REF!</v>
      </c>
      <c r="W151" s="388" t="e">
        <f t="shared" si="54"/>
        <v>#REF!</v>
      </c>
      <c r="X151" s="388" t="e">
        <f t="shared" si="54"/>
        <v>#REF!</v>
      </c>
      <c r="Y151" s="388" t="e">
        <f t="shared" si="54"/>
        <v>#REF!</v>
      </c>
      <c r="Z151" s="388" t="e">
        <f t="shared" si="54"/>
        <v>#REF!</v>
      </c>
      <c r="AA151" s="388" t="e">
        <f t="shared" si="54"/>
        <v>#REF!</v>
      </c>
      <c r="AB151" s="388" t="e">
        <f t="shared" si="54"/>
        <v>#REF!</v>
      </c>
      <c r="AC151" s="388" t="e">
        <f t="shared" si="54"/>
        <v>#REF!</v>
      </c>
      <c r="AD151" s="388" t="e">
        <f t="shared" si="54"/>
        <v>#REF!</v>
      </c>
      <c r="AE151" s="388" t="e">
        <f t="shared" si="54"/>
        <v>#REF!</v>
      </c>
      <c r="AF151" s="388" t="e">
        <f t="shared" si="54"/>
        <v>#REF!</v>
      </c>
      <c r="AG151" s="388" t="e">
        <f t="shared" si="54"/>
        <v>#REF!</v>
      </c>
      <c r="AH151" s="388" t="e">
        <f t="shared" si="54"/>
        <v>#REF!</v>
      </c>
      <c r="AI151" s="388" t="e">
        <f t="shared" si="54"/>
        <v>#REF!</v>
      </c>
      <c r="AJ151" s="388" t="e">
        <f t="shared" si="54"/>
        <v>#REF!</v>
      </c>
      <c r="AK151" s="388" t="e">
        <f t="shared" si="54"/>
        <v>#REF!</v>
      </c>
      <c r="AL151" s="388" t="e">
        <f t="shared" si="54"/>
        <v>#REF!</v>
      </c>
      <c r="AM151" s="388" t="e">
        <f t="shared" si="54"/>
        <v>#REF!</v>
      </c>
      <c r="AN151" s="389" t="e">
        <f t="shared" si="54"/>
        <v>#REF!</v>
      </c>
    </row>
    <row r="152" spans="1:40" ht="12.75" outlineLevel="2">
      <c r="A152" s="382" t="s">
        <v>261</v>
      </c>
      <c r="B152" s="382"/>
      <c r="C152" s="382"/>
      <c r="D152" s="382"/>
      <c r="E152" s="382"/>
      <c r="F152" s="394" t="s">
        <v>262</v>
      </c>
      <c r="G152" s="384"/>
      <c r="H152" s="385"/>
      <c r="I152" s="385"/>
      <c r="J152" s="386"/>
      <c r="K152" s="387" t="str">
        <f aca="true" t="shared" si="55" ref="K152:AN152">IF(K22&gt;=K83,"OK","BŁĄD")</f>
        <v>OK</v>
      </c>
      <c r="L152" s="388" t="str">
        <f t="shared" si="55"/>
        <v>OK</v>
      </c>
      <c r="M152" s="388" t="str">
        <f t="shared" si="55"/>
        <v>OK</v>
      </c>
      <c r="N152" s="388" t="str">
        <f t="shared" si="55"/>
        <v>OK</v>
      </c>
      <c r="O152" s="388" t="str">
        <f t="shared" si="55"/>
        <v>OK</v>
      </c>
      <c r="P152" s="388" t="str">
        <f t="shared" si="55"/>
        <v>OK</v>
      </c>
      <c r="Q152" s="388" t="str">
        <f t="shared" si="55"/>
        <v>OK</v>
      </c>
      <c r="R152" s="388" t="str">
        <f t="shared" si="55"/>
        <v>OK</v>
      </c>
      <c r="S152" s="388" t="str">
        <f t="shared" si="55"/>
        <v>OK</v>
      </c>
      <c r="T152" s="388" t="str">
        <f t="shared" si="55"/>
        <v>OK</v>
      </c>
      <c r="U152" s="388" t="e">
        <f t="shared" si="55"/>
        <v>#REF!</v>
      </c>
      <c r="V152" s="388" t="e">
        <f t="shared" si="55"/>
        <v>#REF!</v>
      </c>
      <c r="W152" s="388" t="e">
        <f t="shared" si="55"/>
        <v>#REF!</v>
      </c>
      <c r="X152" s="388" t="e">
        <f t="shared" si="55"/>
        <v>#REF!</v>
      </c>
      <c r="Y152" s="388" t="e">
        <f t="shared" si="55"/>
        <v>#REF!</v>
      </c>
      <c r="Z152" s="388" t="e">
        <f t="shared" si="55"/>
        <v>#REF!</v>
      </c>
      <c r="AA152" s="388" t="e">
        <f t="shared" si="55"/>
        <v>#REF!</v>
      </c>
      <c r="AB152" s="388" t="e">
        <f t="shared" si="55"/>
        <v>#REF!</v>
      </c>
      <c r="AC152" s="388" t="e">
        <f t="shared" si="55"/>
        <v>#REF!</v>
      </c>
      <c r="AD152" s="388" t="e">
        <f t="shared" si="55"/>
        <v>#REF!</v>
      </c>
      <c r="AE152" s="388" t="e">
        <f t="shared" si="55"/>
        <v>#REF!</v>
      </c>
      <c r="AF152" s="388" t="e">
        <f t="shared" si="55"/>
        <v>#REF!</v>
      </c>
      <c r="AG152" s="388" t="e">
        <f t="shared" si="55"/>
        <v>#REF!</v>
      </c>
      <c r="AH152" s="388" t="e">
        <f t="shared" si="55"/>
        <v>#REF!</v>
      </c>
      <c r="AI152" s="388" t="e">
        <f t="shared" si="55"/>
        <v>#REF!</v>
      </c>
      <c r="AJ152" s="388" t="e">
        <f t="shared" si="55"/>
        <v>#REF!</v>
      </c>
      <c r="AK152" s="388" t="e">
        <f t="shared" si="55"/>
        <v>#REF!</v>
      </c>
      <c r="AL152" s="388" t="e">
        <f t="shared" si="55"/>
        <v>#REF!</v>
      </c>
      <c r="AM152" s="388" t="e">
        <f t="shared" si="55"/>
        <v>#REF!</v>
      </c>
      <c r="AN152" s="389" t="e">
        <f t="shared" si="55"/>
        <v>#REF!</v>
      </c>
    </row>
    <row r="153" spans="1:40" ht="12.75" outlineLevel="2">
      <c r="A153" s="382" t="s">
        <v>263</v>
      </c>
      <c r="B153" s="382"/>
      <c r="C153" s="382"/>
      <c r="D153" s="382"/>
      <c r="E153" s="382"/>
      <c r="F153" s="394" t="s">
        <v>264</v>
      </c>
      <c r="G153" s="384"/>
      <c r="H153" s="385"/>
      <c r="I153" s="385"/>
      <c r="J153" s="386"/>
      <c r="K153" s="387" t="str">
        <f aca="true" t="shared" si="56" ref="K153:AN153">IF(K22&gt;=K96,"OK","BŁĄD")</f>
        <v>OK</v>
      </c>
      <c r="L153" s="388" t="str">
        <f t="shared" si="56"/>
        <v>OK</v>
      </c>
      <c r="M153" s="388" t="str">
        <f t="shared" si="56"/>
        <v>OK</v>
      </c>
      <c r="N153" s="388" t="str">
        <f t="shared" si="56"/>
        <v>OK</v>
      </c>
      <c r="O153" s="388" t="str">
        <f t="shared" si="56"/>
        <v>OK</v>
      </c>
      <c r="P153" s="388" t="str">
        <f t="shared" si="56"/>
        <v>OK</v>
      </c>
      <c r="Q153" s="388" t="str">
        <f t="shared" si="56"/>
        <v>OK</v>
      </c>
      <c r="R153" s="388" t="str">
        <f t="shared" si="56"/>
        <v>OK</v>
      </c>
      <c r="S153" s="388" t="str">
        <f t="shared" si="56"/>
        <v>OK</v>
      </c>
      <c r="T153" s="388" t="str">
        <f t="shared" si="56"/>
        <v>OK</v>
      </c>
      <c r="U153" s="388" t="e">
        <f t="shared" si="56"/>
        <v>#REF!</v>
      </c>
      <c r="V153" s="388" t="e">
        <f t="shared" si="56"/>
        <v>#REF!</v>
      </c>
      <c r="W153" s="388" t="e">
        <f t="shared" si="56"/>
        <v>#REF!</v>
      </c>
      <c r="X153" s="388" t="e">
        <f t="shared" si="56"/>
        <v>#REF!</v>
      </c>
      <c r="Y153" s="388" t="e">
        <f t="shared" si="56"/>
        <v>#REF!</v>
      </c>
      <c r="Z153" s="388" t="e">
        <f t="shared" si="56"/>
        <v>#REF!</v>
      </c>
      <c r="AA153" s="388" t="e">
        <f t="shared" si="56"/>
        <v>#REF!</v>
      </c>
      <c r="AB153" s="388" t="e">
        <f t="shared" si="56"/>
        <v>#REF!</v>
      </c>
      <c r="AC153" s="388" t="e">
        <f t="shared" si="56"/>
        <v>#REF!</v>
      </c>
      <c r="AD153" s="388" t="e">
        <f t="shared" si="56"/>
        <v>#REF!</v>
      </c>
      <c r="AE153" s="388" t="e">
        <f t="shared" si="56"/>
        <v>#REF!</v>
      </c>
      <c r="AF153" s="388" t="e">
        <f t="shared" si="56"/>
        <v>#REF!</v>
      </c>
      <c r="AG153" s="388" t="e">
        <f t="shared" si="56"/>
        <v>#REF!</v>
      </c>
      <c r="AH153" s="388" t="e">
        <f t="shared" si="56"/>
        <v>#REF!</v>
      </c>
      <c r="AI153" s="388" t="e">
        <f t="shared" si="56"/>
        <v>#REF!</v>
      </c>
      <c r="AJ153" s="388" t="e">
        <f t="shared" si="56"/>
        <v>#REF!</v>
      </c>
      <c r="AK153" s="388" t="e">
        <f t="shared" si="56"/>
        <v>#REF!</v>
      </c>
      <c r="AL153" s="388" t="e">
        <f t="shared" si="56"/>
        <v>#REF!</v>
      </c>
      <c r="AM153" s="388" t="e">
        <f t="shared" si="56"/>
        <v>#REF!</v>
      </c>
      <c r="AN153" s="389" t="e">
        <f t="shared" si="56"/>
        <v>#REF!</v>
      </c>
    </row>
    <row r="154" spans="1:40" ht="12.75" outlineLevel="2">
      <c r="A154" s="382" t="s">
        <v>265</v>
      </c>
      <c r="B154" s="382"/>
      <c r="C154" s="382"/>
      <c r="D154" s="382"/>
      <c r="E154" s="382"/>
      <c r="F154" s="394" t="s">
        <v>266</v>
      </c>
      <c r="G154" s="384"/>
      <c r="H154" s="385"/>
      <c r="I154" s="385"/>
      <c r="J154" s="386"/>
      <c r="K154" s="387" t="str">
        <f aca="true" t="shared" si="57" ref="K154:AN154">IF(K28&gt;=K72,"OK","BŁĄD")</f>
        <v>OK</v>
      </c>
      <c r="L154" s="388" t="str">
        <f t="shared" si="57"/>
        <v>OK</v>
      </c>
      <c r="M154" s="388" t="str">
        <f t="shared" si="57"/>
        <v>OK</v>
      </c>
      <c r="N154" s="388" t="str">
        <f t="shared" si="57"/>
        <v>OK</v>
      </c>
      <c r="O154" s="388" t="str">
        <f t="shared" si="57"/>
        <v>OK</v>
      </c>
      <c r="P154" s="388" t="str">
        <f t="shared" si="57"/>
        <v>OK</v>
      </c>
      <c r="Q154" s="388" t="str">
        <f t="shared" si="57"/>
        <v>OK</v>
      </c>
      <c r="R154" s="388" t="str">
        <f t="shared" si="57"/>
        <v>OK</v>
      </c>
      <c r="S154" s="388" t="str">
        <f t="shared" si="57"/>
        <v>OK</v>
      </c>
      <c r="T154" s="388" t="str">
        <f t="shared" si="57"/>
        <v>OK</v>
      </c>
      <c r="U154" s="388" t="e">
        <f t="shared" si="57"/>
        <v>#REF!</v>
      </c>
      <c r="V154" s="388" t="e">
        <f t="shared" si="57"/>
        <v>#REF!</v>
      </c>
      <c r="W154" s="388" t="e">
        <f t="shared" si="57"/>
        <v>#REF!</v>
      </c>
      <c r="X154" s="388" t="e">
        <f t="shared" si="57"/>
        <v>#REF!</v>
      </c>
      <c r="Y154" s="388" t="e">
        <f t="shared" si="57"/>
        <v>#REF!</v>
      </c>
      <c r="Z154" s="388" t="e">
        <f t="shared" si="57"/>
        <v>#REF!</v>
      </c>
      <c r="AA154" s="388" t="e">
        <f t="shared" si="57"/>
        <v>#REF!</v>
      </c>
      <c r="AB154" s="388" t="e">
        <f t="shared" si="57"/>
        <v>#REF!</v>
      </c>
      <c r="AC154" s="388" t="e">
        <f t="shared" si="57"/>
        <v>#REF!</v>
      </c>
      <c r="AD154" s="388" t="e">
        <f t="shared" si="57"/>
        <v>#REF!</v>
      </c>
      <c r="AE154" s="388" t="e">
        <f t="shared" si="57"/>
        <v>#REF!</v>
      </c>
      <c r="AF154" s="388" t="e">
        <f t="shared" si="57"/>
        <v>#REF!</v>
      </c>
      <c r="AG154" s="388" t="e">
        <f t="shared" si="57"/>
        <v>#REF!</v>
      </c>
      <c r="AH154" s="388" t="e">
        <f t="shared" si="57"/>
        <v>#REF!</v>
      </c>
      <c r="AI154" s="388" t="e">
        <f t="shared" si="57"/>
        <v>#REF!</v>
      </c>
      <c r="AJ154" s="388" t="e">
        <f t="shared" si="57"/>
        <v>#REF!</v>
      </c>
      <c r="AK154" s="388" t="e">
        <f t="shared" si="57"/>
        <v>#REF!</v>
      </c>
      <c r="AL154" s="388" t="e">
        <f t="shared" si="57"/>
        <v>#REF!</v>
      </c>
      <c r="AM154" s="388" t="e">
        <f t="shared" si="57"/>
        <v>#REF!</v>
      </c>
      <c r="AN154" s="389" t="e">
        <f t="shared" si="57"/>
        <v>#REF!</v>
      </c>
    </row>
    <row r="155" spans="1:40" ht="12.75" outlineLevel="2">
      <c r="A155" s="382" t="s">
        <v>267</v>
      </c>
      <c r="B155" s="382"/>
      <c r="C155" s="382"/>
      <c r="D155" s="382"/>
      <c r="E155" s="382"/>
      <c r="F155" s="394" t="s">
        <v>268</v>
      </c>
      <c r="G155" s="384"/>
      <c r="H155" s="385"/>
      <c r="I155" s="385"/>
      <c r="J155" s="386"/>
      <c r="K155" s="387" t="str">
        <f aca="true" t="shared" si="58" ref="K155:AN155">IF(K28&gt;=K73+K74,"OK","BŁĄD")</f>
        <v>OK</v>
      </c>
      <c r="L155" s="388" t="str">
        <f t="shared" si="58"/>
        <v>OK</v>
      </c>
      <c r="M155" s="388" t="str">
        <f t="shared" si="58"/>
        <v>OK</v>
      </c>
      <c r="N155" s="388" t="str">
        <f t="shared" si="58"/>
        <v>OK</v>
      </c>
      <c r="O155" s="388" t="str">
        <f t="shared" si="58"/>
        <v>OK</v>
      </c>
      <c r="P155" s="388" t="str">
        <f t="shared" si="58"/>
        <v>OK</v>
      </c>
      <c r="Q155" s="388" t="str">
        <f t="shared" si="58"/>
        <v>OK</v>
      </c>
      <c r="R155" s="388" t="str">
        <f t="shared" si="58"/>
        <v>OK</v>
      </c>
      <c r="S155" s="388" t="str">
        <f t="shared" si="58"/>
        <v>OK</v>
      </c>
      <c r="T155" s="388" t="str">
        <f t="shared" si="58"/>
        <v>OK</v>
      </c>
      <c r="U155" s="388" t="e">
        <f t="shared" si="58"/>
        <v>#REF!</v>
      </c>
      <c r="V155" s="388" t="e">
        <f t="shared" si="58"/>
        <v>#REF!</v>
      </c>
      <c r="W155" s="388" t="e">
        <f t="shared" si="58"/>
        <v>#REF!</v>
      </c>
      <c r="X155" s="388" t="e">
        <f t="shared" si="58"/>
        <v>#REF!</v>
      </c>
      <c r="Y155" s="388" t="e">
        <f t="shared" si="58"/>
        <v>#REF!</v>
      </c>
      <c r="Z155" s="388" t="e">
        <f t="shared" si="58"/>
        <v>#REF!</v>
      </c>
      <c r="AA155" s="388" t="e">
        <f t="shared" si="58"/>
        <v>#REF!</v>
      </c>
      <c r="AB155" s="388" t="e">
        <f t="shared" si="58"/>
        <v>#REF!</v>
      </c>
      <c r="AC155" s="388" t="e">
        <f t="shared" si="58"/>
        <v>#REF!</v>
      </c>
      <c r="AD155" s="388" t="e">
        <f t="shared" si="58"/>
        <v>#REF!</v>
      </c>
      <c r="AE155" s="388" t="e">
        <f t="shared" si="58"/>
        <v>#REF!</v>
      </c>
      <c r="AF155" s="388" t="e">
        <f t="shared" si="58"/>
        <v>#REF!</v>
      </c>
      <c r="AG155" s="388" t="e">
        <f t="shared" si="58"/>
        <v>#REF!</v>
      </c>
      <c r="AH155" s="388" t="e">
        <f t="shared" si="58"/>
        <v>#REF!</v>
      </c>
      <c r="AI155" s="388" t="e">
        <f t="shared" si="58"/>
        <v>#REF!</v>
      </c>
      <c r="AJ155" s="388" t="e">
        <f t="shared" si="58"/>
        <v>#REF!</v>
      </c>
      <c r="AK155" s="388" t="e">
        <f t="shared" si="58"/>
        <v>#REF!</v>
      </c>
      <c r="AL155" s="388" t="e">
        <f t="shared" si="58"/>
        <v>#REF!</v>
      </c>
      <c r="AM155" s="388" t="e">
        <f t="shared" si="58"/>
        <v>#REF!</v>
      </c>
      <c r="AN155" s="389" t="e">
        <f t="shared" si="58"/>
        <v>#REF!</v>
      </c>
    </row>
    <row r="156" spans="1:40" ht="12.75" outlineLevel="2">
      <c r="A156" s="382" t="s">
        <v>269</v>
      </c>
      <c r="B156" s="382"/>
      <c r="C156" s="382"/>
      <c r="D156" s="382"/>
      <c r="E156" s="382"/>
      <c r="F156" s="394" t="s">
        <v>270</v>
      </c>
      <c r="G156" s="384"/>
      <c r="H156" s="385"/>
      <c r="I156" s="385"/>
      <c r="J156" s="386"/>
      <c r="K156" s="387" t="str">
        <f aca="true" t="shared" si="59" ref="K156:AN156">IF(K28&gt;=K75,"OK","BŁĄD")</f>
        <v>OK</v>
      </c>
      <c r="L156" s="388" t="str">
        <f t="shared" si="59"/>
        <v>OK</v>
      </c>
      <c r="M156" s="388" t="str">
        <f t="shared" si="59"/>
        <v>OK</v>
      </c>
      <c r="N156" s="388" t="str">
        <f t="shared" si="59"/>
        <v>OK</v>
      </c>
      <c r="O156" s="388" t="str">
        <f t="shared" si="59"/>
        <v>OK</v>
      </c>
      <c r="P156" s="388" t="str">
        <f t="shared" si="59"/>
        <v>OK</v>
      </c>
      <c r="Q156" s="388" t="str">
        <f t="shared" si="59"/>
        <v>OK</v>
      </c>
      <c r="R156" s="388" t="str">
        <f t="shared" si="59"/>
        <v>OK</v>
      </c>
      <c r="S156" s="388" t="str">
        <f t="shared" si="59"/>
        <v>OK</v>
      </c>
      <c r="T156" s="388" t="str">
        <f t="shared" si="59"/>
        <v>OK</v>
      </c>
      <c r="U156" s="388" t="e">
        <f t="shared" si="59"/>
        <v>#REF!</v>
      </c>
      <c r="V156" s="388" t="e">
        <f t="shared" si="59"/>
        <v>#REF!</v>
      </c>
      <c r="W156" s="388" t="e">
        <f t="shared" si="59"/>
        <v>#REF!</v>
      </c>
      <c r="X156" s="388" t="e">
        <f t="shared" si="59"/>
        <v>#REF!</v>
      </c>
      <c r="Y156" s="388" t="e">
        <f t="shared" si="59"/>
        <v>#REF!</v>
      </c>
      <c r="Z156" s="388" t="e">
        <f t="shared" si="59"/>
        <v>#REF!</v>
      </c>
      <c r="AA156" s="388" t="e">
        <f t="shared" si="59"/>
        <v>#REF!</v>
      </c>
      <c r="AB156" s="388" t="e">
        <f t="shared" si="59"/>
        <v>#REF!</v>
      </c>
      <c r="AC156" s="388" t="e">
        <f t="shared" si="59"/>
        <v>#REF!</v>
      </c>
      <c r="AD156" s="388" t="e">
        <f t="shared" si="59"/>
        <v>#REF!</v>
      </c>
      <c r="AE156" s="388" t="e">
        <f t="shared" si="59"/>
        <v>#REF!</v>
      </c>
      <c r="AF156" s="388" t="e">
        <f t="shared" si="59"/>
        <v>#REF!</v>
      </c>
      <c r="AG156" s="388" t="e">
        <f t="shared" si="59"/>
        <v>#REF!</v>
      </c>
      <c r="AH156" s="388" t="e">
        <f t="shared" si="59"/>
        <v>#REF!</v>
      </c>
      <c r="AI156" s="388" t="e">
        <f t="shared" si="59"/>
        <v>#REF!</v>
      </c>
      <c r="AJ156" s="388" t="e">
        <f t="shared" si="59"/>
        <v>#REF!</v>
      </c>
      <c r="AK156" s="388" t="e">
        <f t="shared" si="59"/>
        <v>#REF!</v>
      </c>
      <c r="AL156" s="388" t="e">
        <f t="shared" si="59"/>
        <v>#REF!</v>
      </c>
      <c r="AM156" s="388" t="e">
        <f t="shared" si="59"/>
        <v>#REF!</v>
      </c>
      <c r="AN156" s="389" t="e">
        <f t="shared" si="59"/>
        <v>#REF!</v>
      </c>
    </row>
    <row r="157" spans="1:40" ht="12.75" outlineLevel="2">
      <c r="A157" s="382" t="s">
        <v>271</v>
      </c>
      <c r="B157" s="382"/>
      <c r="C157" s="382"/>
      <c r="D157" s="382"/>
      <c r="E157" s="382"/>
      <c r="F157" s="394" t="s">
        <v>272</v>
      </c>
      <c r="G157" s="384"/>
      <c r="H157" s="385"/>
      <c r="I157" s="385"/>
      <c r="J157" s="386"/>
      <c r="K157" s="387" t="str">
        <f aca="true" t="shared" si="60" ref="K157:AN157">IF(K28&gt;=K86,"OK","BŁĄD")</f>
        <v>OK</v>
      </c>
      <c r="L157" s="388" t="str">
        <f t="shared" si="60"/>
        <v>OK</v>
      </c>
      <c r="M157" s="388" t="str">
        <f t="shared" si="60"/>
        <v>OK</v>
      </c>
      <c r="N157" s="388" t="str">
        <f t="shared" si="60"/>
        <v>OK</v>
      </c>
      <c r="O157" s="388" t="str">
        <f t="shared" si="60"/>
        <v>OK</v>
      </c>
      <c r="P157" s="388" t="str">
        <f t="shared" si="60"/>
        <v>OK</v>
      </c>
      <c r="Q157" s="388" t="str">
        <f t="shared" si="60"/>
        <v>OK</v>
      </c>
      <c r="R157" s="388" t="str">
        <f t="shared" si="60"/>
        <v>OK</v>
      </c>
      <c r="S157" s="388" t="str">
        <f t="shared" si="60"/>
        <v>OK</v>
      </c>
      <c r="T157" s="388" t="str">
        <f t="shared" si="60"/>
        <v>OK</v>
      </c>
      <c r="U157" s="388" t="e">
        <f t="shared" si="60"/>
        <v>#REF!</v>
      </c>
      <c r="V157" s="388" t="e">
        <f t="shared" si="60"/>
        <v>#REF!</v>
      </c>
      <c r="W157" s="388" t="e">
        <f t="shared" si="60"/>
        <v>#REF!</v>
      </c>
      <c r="X157" s="388" t="e">
        <f t="shared" si="60"/>
        <v>#REF!</v>
      </c>
      <c r="Y157" s="388" t="e">
        <f t="shared" si="60"/>
        <v>#REF!</v>
      </c>
      <c r="Z157" s="388" t="e">
        <f t="shared" si="60"/>
        <v>#REF!</v>
      </c>
      <c r="AA157" s="388" t="e">
        <f t="shared" si="60"/>
        <v>#REF!</v>
      </c>
      <c r="AB157" s="388" t="e">
        <f t="shared" si="60"/>
        <v>#REF!</v>
      </c>
      <c r="AC157" s="388" t="e">
        <f t="shared" si="60"/>
        <v>#REF!</v>
      </c>
      <c r="AD157" s="388" t="e">
        <f t="shared" si="60"/>
        <v>#REF!</v>
      </c>
      <c r="AE157" s="388" t="e">
        <f t="shared" si="60"/>
        <v>#REF!</v>
      </c>
      <c r="AF157" s="388" t="e">
        <f t="shared" si="60"/>
        <v>#REF!</v>
      </c>
      <c r="AG157" s="388" t="e">
        <f t="shared" si="60"/>
        <v>#REF!</v>
      </c>
      <c r="AH157" s="388" t="e">
        <f t="shared" si="60"/>
        <v>#REF!</v>
      </c>
      <c r="AI157" s="388" t="e">
        <f t="shared" si="60"/>
        <v>#REF!</v>
      </c>
      <c r="AJ157" s="388" t="e">
        <f t="shared" si="60"/>
        <v>#REF!</v>
      </c>
      <c r="AK157" s="388" t="e">
        <f t="shared" si="60"/>
        <v>#REF!</v>
      </c>
      <c r="AL157" s="388" t="e">
        <f t="shared" si="60"/>
        <v>#REF!</v>
      </c>
      <c r="AM157" s="388" t="e">
        <f t="shared" si="60"/>
        <v>#REF!</v>
      </c>
      <c r="AN157" s="389" t="e">
        <f t="shared" si="60"/>
        <v>#REF!</v>
      </c>
    </row>
    <row r="158" spans="1:40" ht="12.75" outlineLevel="2">
      <c r="A158" s="382" t="s">
        <v>273</v>
      </c>
      <c r="B158" s="382"/>
      <c r="C158" s="382"/>
      <c r="D158" s="382"/>
      <c r="E158" s="382"/>
      <c r="F158" s="394" t="s">
        <v>274</v>
      </c>
      <c r="G158" s="384"/>
      <c r="H158" s="385"/>
      <c r="I158" s="385"/>
      <c r="J158" s="386"/>
      <c r="K158" s="387" t="str">
        <f aca="true" t="shared" si="61" ref="K158:AN158">IF(K31&gt;=K32,"OK","BŁĄD")</f>
        <v>OK</v>
      </c>
      <c r="L158" s="388" t="str">
        <f t="shared" si="61"/>
        <v>OK</v>
      </c>
      <c r="M158" s="388" t="str">
        <f t="shared" si="61"/>
        <v>OK</v>
      </c>
      <c r="N158" s="388" t="str">
        <f t="shared" si="61"/>
        <v>OK</v>
      </c>
      <c r="O158" s="388" t="str">
        <f t="shared" si="61"/>
        <v>OK</v>
      </c>
      <c r="P158" s="388" t="str">
        <f t="shared" si="61"/>
        <v>OK</v>
      </c>
      <c r="Q158" s="388" t="str">
        <f t="shared" si="61"/>
        <v>OK</v>
      </c>
      <c r="R158" s="388" t="str">
        <f t="shared" si="61"/>
        <v>OK</v>
      </c>
      <c r="S158" s="388" t="str">
        <f t="shared" si="61"/>
        <v>OK</v>
      </c>
      <c r="T158" s="388" t="str">
        <f t="shared" si="61"/>
        <v>OK</v>
      </c>
      <c r="U158" s="388" t="e">
        <f t="shared" si="61"/>
        <v>#REF!</v>
      </c>
      <c r="V158" s="388" t="e">
        <f t="shared" si="61"/>
        <v>#REF!</v>
      </c>
      <c r="W158" s="388" t="e">
        <f t="shared" si="61"/>
        <v>#REF!</v>
      </c>
      <c r="X158" s="388" t="e">
        <f t="shared" si="61"/>
        <v>#REF!</v>
      </c>
      <c r="Y158" s="388" t="e">
        <f t="shared" si="61"/>
        <v>#REF!</v>
      </c>
      <c r="Z158" s="388" t="e">
        <f t="shared" si="61"/>
        <v>#REF!</v>
      </c>
      <c r="AA158" s="388" t="e">
        <f t="shared" si="61"/>
        <v>#REF!</v>
      </c>
      <c r="AB158" s="388" t="e">
        <f t="shared" si="61"/>
        <v>#REF!</v>
      </c>
      <c r="AC158" s="388" t="e">
        <f t="shared" si="61"/>
        <v>#REF!</v>
      </c>
      <c r="AD158" s="388" t="e">
        <f t="shared" si="61"/>
        <v>#REF!</v>
      </c>
      <c r="AE158" s="388" t="e">
        <f t="shared" si="61"/>
        <v>#REF!</v>
      </c>
      <c r="AF158" s="388" t="e">
        <f t="shared" si="61"/>
        <v>#REF!</v>
      </c>
      <c r="AG158" s="388" t="e">
        <f t="shared" si="61"/>
        <v>#REF!</v>
      </c>
      <c r="AH158" s="388" t="e">
        <f t="shared" si="61"/>
        <v>#REF!</v>
      </c>
      <c r="AI158" s="388" t="e">
        <f t="shared" si="61"/>
        <v>#REF!</v>
      </c>
      <c r="AJ158" s="388" t="e">
        <f t="shared" si="61"/>
        <v>#REF!</v>
      </c>
      <c r="AK158" s="388" t="e">
        <f t="shared" si="61"/>
        <v>#REF!</v>
      </c>
      <c r="AL158" s="388" t="e">
        <f t="shared" si="61"/>
        <v>#REF!</v>
      </c>
      <c r="AM158" s="388" t="e">
        <f t="shared" si="61"/>
        <v>#REF!</v>
      </c>
      <c r="AN158" s="389" t="e">
        <f t="shared" si="61"/>
        <v>#REF!</v>
      </c>
    </row>
    <row r="159" spans="1:40" ht="12.75" outlineLevel="2">
      <c r="A159" s="382" t="s">
        <v>275</v>
      </c>
      <c r="B159" s="382"/>
      <c r="C159" s="382"/>
      <c r="D159" s="382"/>
      <c r="E159" s="382"/>
      <c r="F159" s="394" t="s">
        <v>276</v>
      </c>
      <c r="G159" s="384"/>
      <c r="H159" s="385"/>
      <c r="I159" s="385"/>
      <c r="J159" s="386"/>
      <c r="K159" s="387" t="str">
        <f aca="true" t="shared" si="62" ref="K159:AN159">IF(K33&gt;=K34,"OK","BŁĄD")</f>
        <v>OK</v>
      </c>
      <c r="L159" s="388" t="str">
        <f t="shared" si="62"/>
        <v>OK</v>
      </c>
      <c r="M159" s="388" t="str">
        <f t="shared" si="62"/>
        <v>OK</v>
      </c>
      <c r="N159" s="388" t="str">
        <f t="shared" si="62"/>
        <v>OK</v>
      </c>
      <c r="O159" s="388" t="str">
        <f t="shared" si="62"/>
        <v>OK</v>
      </c>
      <c r="P159" s="388" t="str">
        <f t="shared" si="62"/>
        <v>OK</v>
      </c>
      <c r="Q159" s="388" t="str">
        <f t="shared" si="62"/>
        <v>OK</v>
      </c>
      <c r="R159" s="388" t="str">
        <f t="shared" si="62"/>
        <v>OK</v>
      </c>
      <c r="S159" s="388" t="str">
        <f t="shared" si="62"/>
        <v>OK</v>
      </c>
      <c r="T159" s="388" t="str">
        <f t="shared" si="62"/>
        <v>OK</v>
      </c>
      <c r="U159" s="388" t="e">
        <f t="shared" si="62"/>
        <v>#REF!</v>
      </c>
      <c r="V159" s="388" t="e">
        <f t="shared" si="62"/>
        <v>#REF!</v>
      </c>
      <c r="W159" s="388" t="e">
        <f t="shared" si="62"/>
        <v>#REF!</v>
      </c>
      <c r="X159" s="388" t="e">
        <f t="shared" si="62"/>
        <v>#REF!</v>
      </c>
      <c r="Y159" s="388" t="e">
        <f t="shared" si="62"/>
        <v>#REF!</v>
      </c>
      <c r="Z159" s="388" t="e">
        <f t="shared" si="62"/>
        <v>#REF!</v>
      </c>
      <c r="AA159" s="388" t="e">
        <f t="shared" si="62"/>
        <v>#REF!</v>
      </c>
      <c r="AB159" s="388" t="e">
        <f t="shared" si="62"/>
        <v>#REF!</v>
      </c>
      <c r="AC159" s="388" t="e">
        <f t="shared" si="62"/>
        <v>#REF!</v>
      </c>
      <c r="AD159" s="388" t="e">
        <f t="shared" si="62"/>
        <v>#REF!</v>
      </c>
      <c r="AE159" s="388" t="e">
        <f t="shared" si="62"/>
        <v>#REF!</v>
      </c>
      <c r="AF159" s="388" t="e">
        <f t="shared" si="62"/>
        <v>#REF!</v>
      </c>
      <c r="AG159" s="388" t="e">
        <f t="shared" si="62"/>
        <v>#REF!</v>
      </c>
      <c r="AH159" s="388" t="e">
        <f t="shared" si="62"/>
        <v>#REF!</v>
      </c>
      <c r="AI159" s="388" t="e">
        <f t="shared" si="62"/>
        <v>#REF!</v>
      </c>
      <c r="AJ159" s="388" t="e">
        <f t="shared" si="62"/>
        <v>#REF!</v>
      </c>
      <c r="AK159" s="388" t="e">
        <f t="shared" si="62"/>
        <v>#REF!</v>
      </c>
      <c r="AL159" s="388" t="e">
        <f t="shared" si="62"/>
        <v>#REF!</v>
      </c>
      <c r="AM159" s="388" t="e">
        <f t="shared" si="62"/>
        <v>#REF!</v>
      </c>
      <c r="AN159" s="389" t="e">
        <f t="shared" si="62"/>
        <v>#REF!</v>
      </c>
    </row>
    <row r="160" spans="1:40" ht="12.75" outlineLevel="2">
      <c r="A160" s="382" t="s">
        <v>277</v>
      </c>
      <c r="B160" s="382"/>
      <c r="C160" s="382"/>
      <c r="D160" s="382"/>
      <c r="E160" s="382"/>
      <c r="F160" s="394" t="s">
        <v>278</v>
      </c>
      <c r="G160" s="384"/>
      <c r="H160" s="385"/>
      <c r="I160" s="385"/>
      <c r="J160" s="386"/>
      <c r="K160" s="387" t="str">
        <f aca="true" t="shared" si="63" ref="K160:AN160">IF(K35&gt;=K36,"OK","BŁĄD")</f>
        <v>OK</v>
      </c>
      <c r="L160" s="388" t="str">
        <f t="shared" si="63"/>
        <v>OK</v>
      </c>
      <c r="M160" s="388" t="str">
        <f t="shared" si="63"/>
        <v>OK</v>
      </c>
      <c r="N160" s="388" t="str">
        <f t="shared" si="63"/>
        <v>OK</v>
      </c>
      <c r="O160" s="388" t="str">
        <f t="shared" si="63"/>
        <v>OK</v>
      </c>
      <c r="P160" s="388" t="str">
        <f t="shared" si="63"/>
        <v>OK</v>
      </c>
      <c r="Q160" s="388" t="str">
        <f t="shared" si="63"/>
        <v>OK</v>
      </c>
      <c r="R160" s="388" t="str">
        <f t="shared" si="63"/>
        <v>OK</v>
      </c>
      <c r="S160" s="388" t="str">
        <f t="shared" si="63"/>
        <v>OK</v>
      </c>
      <c r="T160" s="388" t="str">
        <f t="shared" si="63"/>
        <v>OK</v>
      </c>
      <c r="U160" s="388" t="e">
        <f t="shared" si="63"/>
        <v>#REF!</v>
      </c>
      <c r="V160" s="388" t="e">
        <f t="shared" si="63"/>
        <v>#REF!</v>
      </c>
      <c r="W160" s="388" t="e">
        <f t="shared" si="63"/>
        <v>#REF!</v>
      </c>
      <c r="X160" s="388" t="e">
        <f t="shared" si="63"/>
        <v>#REF!</v>
      </c>
      <c r="Y160" s="388" t="e">
        <f t="shared" si="63"/>
        <v>#REF!</v>
      </c>
      <c r="Z160" s="388" t="e">
        <f t="shared" si="63"/>
        <v>#REF!</v>
      </c>
      <c r="AA160" s="388" t="e">
        <f t="shared" si="63"/>
        <v>#REF!</v>
      </c>
      <c r="AB160" s="388" t="e">
        <f t="shared" si="63"/>
        <v>#REF!</v>
      </c>
      <c r="AC160" s="388" t="e">
        <f t="shared" si="63"/>
        <v>#REF!</v>
      </c>
      <c r="AD160" s="388" t="e">
        <f t="shared" si="63"/>
        <v>#REF!</v>
      </c>
      <c r="AE160" s="388" t="e">
        <f t="shared" si="63"/>
        <v>#REF!</v>
      </c>
      <c r="AF160" s="388" t="e">
        <f t="shared" si="63"/>
        <v>#REF!</v>
      </c>
      <c r="AG160" s="388" t="e">
        <f t="shared" si="63"/>
        <v>#REF!</v>
      </c>
      <c r="AH160" s="388" t="e">
        <f t="shared" si="63"/>
        <v>#REF!</v>
      </c>
      <c r="AI160" s="388" t="e">
        <f t="shared" si="63"/>
        <v>#REF!</v>
      </c>
      <c r="AJ160" s="388" t="e">
        <f t="shared" si="63"/>
        <v>#REF!</v>
      </c>
      <c r="AK160" s="388" t="e">
        <f t="shared" si="63"/>
        <v>#REF!</v>
      </c>
      <c r="AL160" s="388" t="e">
        <f t="shared" si="63"/>
        <v>#REF!</v>
      </c>
      <c r="AM160" s="388" t="e">
        <f t="shared" si="63"/>
        <v>#REF!</v>
      </c>
      <c r="AN160" s="389" t="e">
        <f t="shared" si="63"/>
        <v>#REF!</v>
      </c>
    </row>
    <row r="161" spans="1:40" ht="12.75" outlineLevel="2">
      <c r="A161" s="382" t="s">
        <v>279</v>
      </c>
      <c r="B161" s="382"/>
      <c r="C161" s="382"/>
      <c r="D161" s="382"/>
      <c r="E161" s="382"/>
      <c r="F161" s="394" t="s">
        <v>280</v>
      </c>
      <c r="G161" s="384"/>
      <c r="H161" s="385"/>
      <c r="I161" s="385"/>
      <c r="J161" s="386"/>
      <c r="K161" s="387" t="str">
        <f aca="true" t="shared" si="64" ref="K161:AN161">IF(K37&gt;=K38,"OK","BŁĄD")</f>
        <v>OK</v>
      </c>
      <c r="L161" s="388" t="str">
        <f t="shared" si="64"/>
        <v>OK</v>
      </c>
      <c r="M161" s="388" t="str">
        <f t="shared" si="64"/>
        <v>OK</v>
      </c>
      <c r="N161" s="388" t="str">
        <f t="shared" si="64"/>
        <v>OK</v>
      </c>
      <c r="O161" s="388" t="str">
        <f t="shared" si="64"/>
        <v>OK</v>
      </c>
      <c r="P161" s="388" t="str">
        <f t="shared" si="64"/>
        <v>OK</v>
      </c>
      <c r="Q161" s="388" t="str">
        <f t="shared" si="64"/>
        <v>OK</v>
      </c>
      <c r="R161" s="388" t="str">
        <f t="shared" si="64"/>
        <v>OK</v>
      </c>
      <c r="S161" s="388" t="str">
        <f t="shared" si="64"/>
        <v>OK</v>
      </c>
      <c r="T161" s="388" t="str">
        <f t="shared" si="64"/>
        <v>OK</v>
      </c>
      <c r="U161" s="388" t="e">
        <f t="shared" si="64"/>
        <v>#REF!</v>
      </c>
      <c r="V161" s="388" t="e">
        <f t="shared" si="64"/>
        <v>#REF!</v>
      </c>
      <c r="W161" s="388" t="e">
        <f t="shared" si="64"/>
        <v>#REF!</v>
      </c>
      <c r="X161" s="388" t="e">
        <f t="shared" si="64"/>
        <v>#REF!</v>
      </c>
      <c r="Y161" s="388" t="e">
        <f t="shared" si="64"/>
        <v>#REF!</v>
      </c>
      <c r="Z161" s="388" t="e">
        <f t="shared" si="64"/>
        <v>#REF!</v>
      </c>
      <c r="AA161" s="388" t="e">
        <f t="shared" si="64"/>
        <v>#REF!</v>
      </c>
      <c r="AB161" s="388" t="e">
        <f t="shared" si="64"/>
        <v>#REF!</v>
      </c>
      <c r="AC161" s="388" t="e">
        <f t="shared" si="64"/>
        <v>#REF!</v>
      </c>
      <c r="AD161" s="388" t="e">
        <f t="shared" si="64"/>
        <v>#REF!</v>
      </c>
      <c r="AE161" s="388" t="e">
        <f t="shared" si="64"/>
        <v>#REF!</v>
      </c>
      <c r="AF161" s="388" t="e">
        <f t="shared" si="64"/>
        <v>#REF!</v>
      </c>
      <c r="AG161" s="388" t="e">
        <f t="shared" si="64"/>
        <v>#REF!</v>
      </c>
      <c r="AH161" s="388" t="e">
        <f t="shared" si="64"/>
        <v>#REF!</v>
      </c>
      <c r="AI161" s="388" t="e">
        <f t="shared" si="64"/>
        <v>#REF!</v>
      </c>
      <c r="AJ161" s="388" t="e">
        <f t="shared" si="64"/>
        <v>#REF!</v>
      </c>
      <c r="AK161" s="388" t="e">
        <f t="shared" si="64"/>
        <v>#REF!</v>
      </c>
      <c r="AL161" s="388" t="e">
        <f t="shared" si="64"/>
        <v>#REF!</v>
      </c>
      <c r="AM161" s="388" t="e">
        <f t="shared" si="64"/>
        <v>#REF!</v>
      </c>
      <c r="AN161" s="389" t="e">
        <f t="shared" si="64"/>
        <v>#REF!</v>
      </c>
    </row>
    <row r="162" spans="1:40" ht="12.75" outlineLevel="2">
      <c r="A162" s="382" t="s">
        <v>281</v>
      </c>
      <c r="B162" s="382"/>
      <c r="C162" s="382"/>
      <c r="D162" s="382"/>
      <c r="E162" s="382"/>
      <c r="F162" s="394" t="s">
        <v>282</v>
      </c>
      <c r="G162" s="384"/>
      <c r="H162" s="385"/>
      <c r="I162" s="385"/>
      <c r="J162" s="386"/>
      <c r="K162" s="387" t="str">
        <f aca="true" t="shared" si="65" ref="K162:AN162">IF(K40&gt;=K41,"OK","BŁĄD")</f>
        <v>OK</v>
      </c>
      <c r="L162" s="388" t="str">
        <f t="shared" si="65"/>
        <v>OK</v>
      </c>
      <c r="M162" s="388" t="str">
        <f t="shared" si="65"/>
        <v>OK</v>
      </c>
      <c r="N162" s="388" t="str">
        <f t="shared" si="65"/>
        <v>OK</v>
      </c>
      <c r="O162" s="388" t="str">
        <f t="shared" si="65"/>
        <v>OK</v>
      </c>
      <c r="P162" s="388" t="str">
        <f t="shared" si="65"/>
        <v>OK</v>
      </c>
      <c r="Q162" s="388" t="str">
        <f t="shared" si="65"/>
        <v>OK</v>
      </c>
      <c r="R162" s="388" t="str">
        <f t="shared" si="65"/>
        <v>OK</v>
      </c>
      <c r="S162" s="388" t="str">
        <f t="shared" si="65"/>
        <v>OK</v>
      </c>
      <c r="T162" s="388" t="str">
        <f t="shared" si="65"/>
        <v>OK</v>
      </c>
      <c r="U162" s="388" t="e">
        <f t="shared" si="65"/>
        <v>#REF!</v>
      </c>
      <c r="V162" s="388" t="e">
        <f t="shared" si="65"/>
        <v>#REF!</v>
      </c>
      <c r="W162" s="388" t="e">
        <f t="shared" si="65"/>
        <v>#REF!</v>
      </c>
      <c r="X162" s="388" t="e">
        <f t="shared" si="65"/>
        <v>#REF!</v>
      </c>
      <c r="Y162" s="388" t="e">
        <f t="shared" si="65"/>
        <v>#REF!</v>
      </c>
      <c r="Z162" s="388" t="e">
        <f t="shared" si="65"/>
        <v>#REF!</v>
      </c>
      <c r="AA162" s="388" t="e">
        <f t="shared" si="65"/>
        <v>#REF!</v>
      </c>
      <c r="AB162" s="388" t="e">
        <f t="shared" si="65"/>
        <v>#REF!</v>
      </c>
      <c r="AC162" s="388" t="e">
        <f t="shared" si="65"/>
        <v>#REF!</v>
      </c>
      <c r="AD162" s="388" t="e">
        <f t="shared" si="65"/>
        <v>#REF!</v>
      </c>
      <c r="AE162" s="388" t="e">
        <f t="shared" si="65"/>
        <v>#REF!</v>
      </c>
      <c r="AF162" s="388" t="e">
        <f t="shared" si="65"/>
        <v>#REF!</v>
      </c>
      <c r="AG162" s="388" t="e">
        <f t="shared" si="65"/>
        <v>#REF!</v>
      </c>
      <c r="AH162" s="388" t="e">
        <f t="shared" si="65"/>
        <v>#REF!</v>
      </c>
      <c r="AI162" s="388" t="e">
        <f t="shared" si="65"/>
        <v>#REF!</v>
      </c>
      <c r="AJ162" s="388" t="e">
        <f t="shared" si="65"/>
        <v>#REF!</v>
      </c>
      <c r="AK162" s="388" t="e">
        <f t="shared" si="65"/>
        <v>#REF!</v>
      </c>
      <c r="AL162" s="388" t="e">
        <f t="shared" si="65"/>
        <v>#REF!</v>
      </c>
      <c r="AM162" s="388" t="e">
        <f t="shared" si="65"/>
        <v>#REF!</v>
      </c>
      <c r="AN162" s="389" t="e">
        <f t="shared" si="65"/>
        <v>#REF!</v>
      </c>
    </row>
    <row r="163" spans="1:40" ht="12.75" outlineLevel="2">
      <c r="A163" s="382" t="s">
        <v>283</v>
      </c>
      <c r="B163" s="382"/>
      <c r="C163" s="382"/>
      <c r="D163" s="382"/>
      <c r="E163" s="382"/>
      <c r="F163" s="394" t="s">
        <v>284</v>
      </c>
      <c r="G163" s="384"/>
      <c r="H163" s="385"/>
      <c r="I163" s="385"/>
      <c r="J163" s="386"/>
      <c r="K163" s="387" t="str">
        <f aca="true" t="shared" si="66" ref="K163:AN163">IF(K41&gt;=K42,"OK","BŁĄD")</f>
        <v>OK</v>
      </c>
      <c r="L163" s="388" t="str">
        <f t="shared" si="66"/>
        <v>OK</v>
      </c>
      <c r="M163" s="388" t="str">
        <f t="shared" si="66"/>
        <v>OK</v>
      </c>
      <c r="N163" s="388" t="str">
        <f t="shared" si="66"/>
        <v>OK</v>
      </c>
      <c r="O163" s="388" t="str">
        <f t="shared" si="66"/>
        <v>OK</v>
      </c>
      <c r="P163" s="388" t="str">
        <f t="shared" si="66"/>
        <v>OK</v>
      </c>
      <c r="Q163" s="388" t="str">
        <f t="shared" si="66"/>
        <v>OK</v>
      </c>
      <c r="R163" s="388" t="str">
        <f t="shared" si="66"/>
        <v>OK</v>
      </c>
      <c r="S163" s="388" t="str">
        <f t="shared" si="66"/>
        <v>OK</v>
      </c>
      <c r="T163" s="388" t="str">
        <f t="shared" si="66"/>
        <v>OK</v>
      </c>
      <c r="U163" s="388" t="e">
        <f t="shared" si="66"/>
        <v>#REF!</v>
      </c>
      <c r="V163" s="388" t="e">
        <f t="shared" si="66"/>
        <v>#REF!</v>
      </c>
      <c r="W163" s="388" t="e">
        <f t="shared" si="66"/>
        <v>#REF!</v>
      </c>
      <c r="X163" s="388" t="e">
        <f t="shared" si="66"/>
        <v>#REF!</v>
      </c>
      <c r="Y163" s="388" t="e">
        <f t="shared" si="66"/>
        <v>#REF!</v>
      </c>
      <c r="Z163" s="388" t="e">
        <f t="shared" si="66"/>
        <v>#REF!</v>
      </c>
      <c r="AA163" s="388" t="e">
        <f t="shared" si="66"/>
        <v>#REF!</v>
      </c>
      <c r="AB163" s="388" t="e">
        <f t="shared" si="66"/>
        <v>#REF!</v>
      </c>
      <c r="AC163" s="388" t="e">
        <f t="shared" si="66"/>
        <v>#REF!</v>
      </c>
      <c r="AD163" s="388" t="e">
        <f t="shared" si="66"/>
        <v>#REF!</v>
      </c>
      <c r="AE163" s="388" t="e">
        <f t="shared" si="66"/>
        <v>#REF!</v>
      </c>
      <c r="AF163" s="388" t="e">
        <f t="shared" si="66"/>
        <v>#REF!</v>
      </c>
      <c r="AG163" s="388" t="e">
        <f t="shared" si="66"/>
        <v>#REF!</v>
      </c>
      <c r="AH163" s="388" t="e">
        <f t="shared" si="66"/>
        <v>#REF!</v>
      </c>
      <c r="AI163" s="388" t="e">
        <f t="shared" si="66"/>
        <v>#REF!</v>
      </c>
      <c r="AJ163" s="388" t="e">
        <f t="shared" si="66"/>
        <v>#REF!</v>
      </c>
      <c r="AK163" s="388" t="e">
        <f t="shared" si="66"/>
        <v>#REF!</v>
      </c>
      <c r="AL163" s="388" t="e">
        <f t="shared" si="66"/>
        <v>#REF!</v>
      </c>
      <c r="AM163" s="388" t="e">
        <f t="shared" si="66"/>
        <v>#REF!</v>
      </c>
      <c r="AN163" s="389" t="e">
        <f t="shared" si="66"/>
        <v>#REF!</v>
      </c>
    </row>
    <row r="164" spans="1:40" ht="12.75" outlineLevel="2">
      <c r="A164" s="382" t="s">
        <v>285</v>
      </c>
      <c r="B164" s="382"/>
      <c r="C164" s="382"/>
      <c r="D164" s="382"/>
      <c r="E164" s="382"/>
      <c r="F164" s="394" t="s">
        <v>286</v>
      </c>
      <c r="G164" s="384"/>
      <c r="H164" s="385"/>
      <c r="I164" s="385"/>
      <c r="J164" s="386"/>
      <c r="K164" s="387" t="str">
        <f aca="true" t="shared" si="67" ref="K164:AN164">IF(K40&gt;=K66,"OK","BŁĄD")</f>
        <v>OK</v>
      </c>
      <c r="L164" s="388" t="str">
        <f t="shared" si="67"/>
        <v>OK</v>
      </c>
      <c r="M164" s="388" t="str">
        <f t="shared" si="67"/>
        <v>OK</v>
      </c>
      <c r="N164" s="388" t="str">
        <f t="shared" si="67"/>
        <v>OK</v>
      </c>
      <c r="O164" s="388" t="str">
        <f t="shared" si="67"/>
        <v>OK</v>
      </c>
      <c r="P164" s="388" t="str">
        <f t="shared" si="67"/>
        <v>OK</v>
      </c>
      <c r="Q164" s="388" t="str">
        <f t="shared" si="67"/>
        <v>OK</v>
      </c>
      <c r="R164" s="388" t="str">
        <f t="shared" si="67"/>
        <v>OK</v>
      </c>
      <c r="S164" s="388" t="str">
        <f t="shared" si="67"/>
        <v>OK</v>
      </c>
      <c r="T164" s="388" t="str">
        <f t="shared" si="67"/>
        <v>OK</v>
      </c>
      <c r="U164" s="388" t="e">
        <f t="shared" si="67"/>
        <v>#REF!</v>
      </c>
      <c r="V164" s="388" t="e">
        <f t="shared" si="67"/>
        <v>#REF!</v>
      </c>
      <c r="W164" s="388" t="e">
        <f t="shared" si="67"/>
        <v>#REF!</v>
      </c>
      <c r="X164" s="388" t="e">
        <f t="shared" si="67"/>
        <v>#REF!</v>
      </c>
      <c r="Y164" s="388" t="e">
        <f t="shared" si="67"/>
        <v>#REF!</v>
      </c>
      <c r="Z164" s="388" t="e">
        <f t="shared" si="67"/>
        <v>#REF!</v>
      </c>
      <c r="AA164" s="388" t="e">
        <f t="shared" si="67"/>
        <v>#REF!</v>
      </c>
      <c r="AB164" s="388" t="e">
        <f t="shared" si="67"/>
        <v>#REF!</v>
      </c>
      <c r="AC164" s="388" t="e">
        <f t="shared" si="67"/>
        <v>#REF!</v>
      </c>
      <c r="AD164" s="388" t="e">
        <f t="shared" si="67"/>
        <v>#REF!</v>
      </c>
      <c r="AE164" s="388" t="e">
        <f t="shared" si="67"/>
        <v>#REF!</v>
      </c>
      <c r="AF164" s="388" t="e">
        <f t="shared" si="67"/>
        <v>#REF!</v>
      </c>
      <c r="AG164" s="388" t="e">
        <f t="shared" si="67"/>
        <v>#REF!</v>
      </c>
      <c r="AH164" s="388" t="e">
        <f t="shared" si="67"/>
        <v>#REF!</v>
      </c>
      <c r="AI164" s="388" t="e">
        <f t="shared" si="67"/>
        <v>#REF!</v>
      </c>
      <c r="AJ164" s="388" t="e">
        <f t="shared" si="67"/>
        <v>#REF!</v>
      </c>
      <c r="AK164" s="388" t="e">
        <f t="shared" si="67"/>
        <v>#REF!</v>
      </c>
      <c r="AL164" s="388" t="e">
        <f t="shared" si="67"/>
        <v>#REF!</v>
      </c>
      <c r="AM164" s="388" t="e">
        <f t="shared" si="67"/>
        <v>#REF!</v>
      </c>
      <c r="AN164" s="389" t="e">
        <f t="shared" si="67"/>
        <v>#REF!</v>
      </c>
    </row>
    <row r="165" spans="1:40" ht="12.75" outlineLevel="2">
      <c r="A165" s="382" t="s">
        <v>287</v>
      </c>
      <c r="B165" s="382"/>
      <c r="C165" s="382"/>
      <c r="D165" s="382"/>
      <c r="E165" s="382"/>
      <c r="F165" s="394" t="s">
        <v>288</v>
      </c>
      <c r="G165" s="384"/>
      <c r="H165" s="385"/>
      <c r="I165" s="385"/>
      <c r="J165" s="386"/>
      <c r="K165" s="387" t="str">
        <f aca="true" t="shared" si="68" ref="K165:AN165">IF(K40&gt;=K98,"OK","BŁĄD")</f>
        <v>OK</v>
      </c>
      <c r="L165" s="388" t="str">
        <f t="shared" si="68"/>
        <v>OK</v>
      </c>
      <c r="M165" s="388" t="str">
        <f t="shared" si="68"/>
        <v>OK</v>
      </c>
      <c r="N165" s="388" t="str">
        <f t="shared" si="68"/>
        <v>OK</v>
      </c>
      <c r="O165" s="388" t="str">
        <f t="shared" si="68"/>
        <v>OK</v>
      </c>
      <c r="P165" s="388" t="str">
        <f t="shared" si="68"/>
        <v>OK</v>
      </c>
      <c r="Q165" s="388" t="str">
        <f t="shared" si="68"/>
        <v>OK</v>
      </c>
      <c r="R165" s="388" t="str">
        <f t="shared" si="68"/>
        <v>OK</v>
      </c>
      <c r="S165" s="388" t="str">
        <f t="shared" si="68"/>
        <v>OK</v>
      </c>
      <c r="T165" s="388" t="str">
        <f t="shared" si="68"/>
        <v>OK</v>
      </c>
      <c r="U165" s="388" t="e">
        <f t="shared" si="68"/>
        <v>#REF!</v>
      </c>
      <c r="V165" s="388" t="e">
        <f t="shared" si="68"/>
        <v>#REF!</v>
      </c>
      <c r="W165" s="388" t="e">
        <f t="shared" si="68"/>
        <v>#REF!</v>
      </c>
      <c r="X165" s="388" t="e">
        <f t="shared" si="68"/>
        <v>#REF!</v>
      </c>
      <c r="Y165" s="388" t="e">
        <f t="shared" si="68"/>
        <v>#REF!</v>
      </c>
      <c r="Z165" s="388" t="e">
        <f t="shared" si="68"/>
        <v>#REF!</v>
      </c>
      <c r="AA165" s="388" t="e">
        <f t="shared" si="68"/>
        <v>#REF!</v>
      </c>
      <c r="AB165" s="388" t="e">
        <f t="shared" si="68"/>
        <v>#REF!</v>
      </c>
      <c r="AC165" s="388" t="e">
        <f t="shared" si="68"/>
        <v>#REF!</v>
      </c>
      <c r="AD165" s="388" t="e">
        <f t="shared" si="68"/>
        <v>#REF!</v>
      </c>
      <c r="AE165" s="388" t="e">
        <f t="shared" si="68"/>
        <v>#REF!</v>
      </c>
      <c r="AF165" s="388" t="e">
        <f t="shared" si="68"/>
        <v>#REF!</v>
      </c>
      <c r="AG165" s="388" t="e">
        <f t="shared" si="68"/>
        <v>#REF!</v>
      </c>
      <c r="AH165" s="388" t="e">
        <f t="shared" si="68"/>
        <v>#REF!</v>
      </c>
      <c r="AI165" s="388" t="e">
        <f t="shared" si="68"/>
        <v>#REF!</v>
      </c>
      <c r="AJ165" s="388" t="e">
        <f t="shared" si="68"/>
        <v>#REF!</v>
      </c>
      <c r="AK165" s="388" t="e">
        <f t="shared" si="68"/>
        <v>#REF!</v>
      </c>
      <c r="AL165" s="388" t="e">
        <f t="shared" si="68"/>
        <v>#REF!</v>
      </c>
      <c r="AM165" s="388" t="e">
        <f t="shared" si="68"/>
        <v>#REF!</v>
      </c>
      <c r="AN165" s="389" t="e">
        <f t="shared" si="68"/>
        <v>#REF!</v>
      </c>
    </row>
    <row r="166" spans="1:40" ht="12.75" outlineLevel="2">
      <c r="A166" s="382" t="s">
        <v>289</v>
      </c>
      <c r="B166" s="382"/>
      <c r="C166" s="382"/>
      <c r="D166" s="382"/>
      <c r="E166" s="382"/>
      <c r="F166" s="394" t="s">
        <v>290</v>
      </c>
      <c r="G166" s="384"/>
      <c r="H166" s="385"/>
      <c r="I166" s="385"/>
      <c r="J166" s="386"/>
      <c r="K166" s="387" t="str">
        <f aca="true" t="shared" si="69" ref="K166:AN166">IF(K44&gt;=K45,"OK","BŁĄD")</f>
        <v>OK</v>
      </c>
      <c r="L166" s="388" t="str">
        <f t="shared" si="69"/>
        <v>OK</v>
      </c>
      <c r="M166" s="388" t="str">
        <f t="shared" si="69"/>
        <v>OK</v>
      </c>
      <c r="N166" s="388" t="str">
        <f t="shared" si="69"/>
        <v>OK</v>
      </c>
      <c r="O166" s="388" t="str">
        <f t="shared" si="69"/>
        <v>OK</v>
      </c>
      <c r="P166" s="388" t="str">
        <f t="shared" si="69"/>
        <v>OK</v>
      </c>
      <c r="Q166" s="388" t="str">
        <f t="shared" si="69"/>
        <v>OK</v>
      </c>
      <c r="R166" s="388" t="str">
        <f t="shared" si="69"/>
        <v>OK</v>
      </c>
      <c r="S166" s="388" t="str">
        <f t="shared" si="69"/>
        <v>OK</v>
      </c>
      <c r="T166" s="388" t="str">
        <f t="shared" si="69"/>
        <v>OK</v>
      </c>
      <c r="U166" s="388" t="e">
        <f t="shared" si="69"/>
        <v>#REF!</v>
      </c>
      <c r="V166" s="388" t="e">
        <f t="shared" si="69"/>
        <v>#REF!</v>
      </c>
      <c r="W166" s="388" t="e">
        <f t="shared" si="69"/>
        <v>#REF!</v>
      </c>
      <c r="X166" s="388" t="e">
        <f t="shared" si="69"/>
        <v>#REF!</v>
      </c>
      <c r="Y166" s="388" t="e">
        <f t="shared" si="69"/>
        <v>#REF!</v>
      </c>
      <c r="Z166" s="388" t="e">
        <f t="shared" si="69"/>
        <v>#REF!</v>
      </c>
      <c r="AA166" s="388" t="e">
        <f t="shared" si="69"/>
        <v>#REF!</v>
      </c>
      <c r="AB166" s="388" t="e">
        <f t="shared" si="69"/>
        <v>#REF!</v>
      </c>
      <c r="AC166" s="388" t="e">
        <f t="shared" si="69"/>
        <v>#REF!</v>
      </c>
      <c r="AD166" s="388" t="e">
        <f t="shared" si="69"/>
        <v>#REF!</v>
      </c>
      <c r="AE166" s="388" t="e">
        <f t="shared" si="69"/>
        <v>#REF!</v>
      </c>
      <c r="AF166" s="388" t="e">
        <f t="shared" si="69"/>
        <v>#REF!</v>
      </c>
      <c r="AG166" s="388" t="e">
        <f t="shared" si="69"/>
        <v>#REF!</v>
      </c>
      <c r="AH166" s="388" t="e">
        <f t="shared" si="69"/>
        <v>#REF!</v>
      </c>
      <c r="AI166" s="388" t="e">
        <f t="shared" si="69"/>
        <v>#REF!</v>
      </c>
      <c r="AJ166" s="388" t="e">
        <f t="shared" si="69"/>
        <v>#REF!</v>
      </c>
      <c r="AK166" s="388" t="e">
        <f t="shared" si="69"/>
        <v>#REF!</v>
      </c>
      <c r="AL166" s="388" t="e">
        <f t="shared" si="69"/>
        <v>#REF!</v>
      </c>
      <c r="AM166" s="388" t="e">
        <f t="shared" si="69"/>
        <v>#REF!</v>
      </c>
      <c r="AN166" s="389" t="e">
        <f t="shared" si="69"/>
        <v>#REF!</v>
      </c>
    </row>
    <row r="167" spans="1:40" ht="12.75" outlineLevel="2">
      <c r="A167" s="382" t="s">
        <v>291</v>
      </c>
      <c r="B167" s="382"/>
      <c r="C167" s="382"/>
      <c r="D167" s="382"/>
      <c r="E167" s="382"/>
      <c r="F167" s="394" t="s">
        <v>292</v>
      </c>
      <c r="G167" s="384"/>
      <c r="H167" s="385"/>
      <c r="I167" s="385"/>
      <c r="J167" s="386"/>
      <c r="K167" s="387" t="str">
        <f aca="true" t="shared" si="70" ref="K167:AN167">IF(K44&gt;=K49,"OK","BŁĄD")</f>
        <v>OK</v>
      </c>
      <c r="L167" s="388" t="str">
        <f t="shared" si="70"/>
        <v>OK</v>
      </c>
      <c r="M167" s="388" t="str">
        <f t="shared" si="70"/>
        <v>OK</v>
      </c>
      <c r="N167" s="388" t="str">
        <f t="shared" si="70"/>
        <v>OK</v>
      </c>
      <c r="O167" s="388" t="str">
        <f t="shared" si="70"/>
        <v>OK</v>
      </c>
      <c r="P167" s="388" t="str">
        <f t="shared" si="70"/>
        <v>OK</v>
      </c>
      <c r="Q167" s="388" t="str">
        <f t="shared" si="70"/>
        <v>OK</v>
      </c>
      <c r="R167" s="388" t="str">
        <f t="shared" si="70"/>
        <v>OK</v>
      </c>
      <c r="S167" s="388" t="str">
        <f t="shared" si="70"/>
        <v>OK</v>
      </c>
      <c r="T167" s="388" t="str">
        <f t="shared" si="70"/>
        <v>OK</v>
      </c>
      <c r="U167" s="388" t="e">
        <f t="shared" si="70"/>
        <v>#REF!</v>
      </c>
      <c r="V167" s="388" t="e">
        <f t="shared" si="70"/>
        <v>#REF!</v>
      </c>
      <c r="W167" s="388" t="e">
        <f t="shared" si="70"/>
        <v>#REF!</v>
      </c>
      <c r="X167" s="388" t="e">
        <f t="shared" si="70"/>
        <v>#REF!</v>
      </c>
      <c r="Y167" s="388" t="e">
        <f t="shared" si="70"/>
        <v>#REF!</v>
      </c>
      <c r="Z167" s="388" t="e">
        <f t="shared" si="70"/>
        <v>#REF!</v>
      </c>
      <c r="AA167" s="388" t="e">
        <f t="shared" si="70"/>
        <v>#REF!</v>
      </c>
      <c r="AB167" s="388" t="e">
        <f t="shared" si="70"/>
        <v>#REF!</v>
      </c>
      <c r="AC167" s="388" t="e">
        <f t="shared" si="70"/>
        <v>#REF!</v>
      </c>
      <c r="AD167" s="388" t="e">
        <f t="shared" si="70"/>
        <v>#REF!</v>
      </c>
      <c r="AE167" s="388" t="e">
        <f t="shared" si="70"/>
        <v>#REF!</v>
      </c>
      <c r="AF167" s="388" t="e">
        <f t="shared" si="70"/>
        <v>#REF!</v>
      </c>
      <c r="AG167" s="388" t="e">
        <f t="shared" si="70"/>
        <v>#REF!</v>
      </c>
      <c r="AH167" s="388" t="e">
        <f t="shared" si="70"/>
        <v>#REF!</v>
      </c>
      <c r="AI167" s="388" t="e">
        <f t="shared" si="70"/>
        <v>#REF!</v>
      </c>
      <c r="AJ167" s="388" t="e">
        <f t="shared" si="70"/>
        <v>#REF!</v>
      </c>
      <c r="AK167" s="388" t="e">
        <f t="shared" si="70"/>
        <v>#REF!</v>
      </c>
      <c r="AL167" s="388" t="e">
        <f t="shared" si="70"/>
        <v>#REF!</v>
      </c>
      <c r="AM167" s="388" t="e">
        <f t="shared" si="70"/>
        <v>#REF!</v>
      </c>
      <c r="AN167" s="389" t="e">
        <f t="shared" si="70"/>
        <v>#REF!</v>
      </c>
    </row>
    <row r="168" spans="1:40" ht="12.75" outlineLevel="2">
      <c r="A168" s="382" t="s">
        <v>293</v>
      </c>
      <c r="B168" s="382"/>
      <c r="C168" s="382"/>
      <c r="D168" s="382"/>
      <c r="E168" s="382"/>
      <c r="F168" s="394" t="s">
        <v>294</v>
      </c>
      <c r="G168" s="384"/>
      <c r="H168" s="385"/>
      <c r="I168" s="385"/>
      <c r="J168" s="386"/>
      <c r="K168" s="387" t="str">
        <f aca="true" t="shared" si="71" ref="K168:AN168">IF(K44&gt;=K99,"OK","BŁĄD")</f>
        <v>OK</v>
      </c>
      <c r="L168" s="388" t="str">
        <f t="shared" si="71"/>
        <v>OK</v>
      </c>
      <c r="M168" s="388" t="str">
        <f t="shared" si="71"/>
        <v>OK</v>
      </c>
      <c r="N168" s="388" t="str">
        <f t="shared" si="71"/>
        <v>OK</v>
      </c>
      <c r="O168" s="388" t="str">
        <f t="shared" si="71"/>
        <v>OK</v>
      </c>
      <c r="P168" s="388" t="str">
        <f t="shared" si="71"/>
        <v>OK</v>
      </c>
      <c r="Q168" s="388" t="str">
        <f t="shared" si="71"/>
        <v>OK</v>
      </c>
      <c r="R168" s="388" t="str">
        <f t="shared" si="71"/>
        <v>OK</v>
      </c>
      <c r="S168" s="388" t="str">
        <f t="shared" si="71"/>
        <v>OK</v>
      </c>
      <c r="T168" s="388" t="str">
        <f t="shared" si="71"/>
        <v>OK</v>
      </c>
      <c r="U168" s="388" t="e">
        <f t="shared" si="71"/>
        <v>#REF!</v>
      </c>
      <c r="V168" s="388" t="e">
        <f t="shared" si="71"/>
        <v>#REF!</v>
      </c>
      <c r="W168" s="388" t="e">
        <f t="shared" si="71"/>
        <v>#REF!</v>
      </c>
      <c r="X168" s="388" t="e">
        <f t="shared" si="71"/>
        <v>#REF!</v>
      </c>
      <c r="Y168" s="388" t="e">
        <f t="shared" si="71"/>
        <v>#REF!</v>
      </c>
      <c r="Z168" s="388" t="e">
        <f t="shared" si="71"/>
        <v>#REF!</v>
      </c>
      <c r="AA168" s="388" t="e">
        <f t="shared" si="71"/>
        <v>#REF!</v>
      </c>
      <c r="AB168" s="388" t="e">
        <f t="shared" si="71"/>
        <v>#REF!</v>
      </c>
      <c r="AC168" s="388" t="e">
        <f t="shared" si="71"/>
        <v>#REF!</v>
      </c>
      <c r="AD168" s="388" t="e">
        <f t="shared" si="71"/>
        <v>#REF!</v>
      </c>
      <c r="AE168" s="388" t="e">
        <f t="shared" si="71"/>
        <v>#REF!</v>
      </c>
      <c r="AF168" s="388" t="e">
        <f t="shared" si="71"/>
        <v>#REF!</v>
      </c>
      <c r="AG168" s="388" t="e">
        <f t="shared" si="71"/>
        <v>#REF!</v>
      </c>
      <c r="AH168" s="388" t="e">
        <f t="shared" si="71"/>
        <v>#REF!</v>
      </c>
      <c r="AI168" s="388" t="e">
        <f t="shared" si="71"/>
        <v>#REF!</v>
      </c>
      <c r="AJ168" s="388" t="e">
        <f t="shared" si="71"/>
        <v>#REF!</v>
      </c>
      <c r="AK168" s="388" t="e">
        <f t="shared" si="71"/>
        <v>#REF!</v>
      </c>
      <c r="AL168" s="388" t="e">
        <f t="shared" si="71"/>
        <v>#REF!</v>
      </c>
      <c r="AM168" s="388" t="e">
        <f t="shared" si="71"/>
        <v>#REF!</v>
      </c>
      <c r="AN168" s="389" t="e">
        <f t="shared" si="71"/>
        <v>#REF!</v>
      </c>
    </row>
    <row r="169" spans="1:40" ht="12.75" outlineLevel="2">
      <c r="A169" s="382" t="s">
        <v>295</v>
      </c>
      <c r="B169" s="382"/>
      <c r="C169" s="382"/>
      <c r="D169" s="382"/>
      <c r="E169" s="382"/>
      <c r="F169" s="394" t="s">
        <v>296</v>
      </c>
      <c r="G169" s="384"/>
      <c r="H169" s="385"/>
      <c r="I169" s="385"/>
      <c r="J169" s="386"/>
      <c r="K169" s="387" t="str">
        <f aca="true" t="shared" si="72" ref="K169:AN169">+IF(K45&gt;=K46,"OK","BŁĄD")</f>
        <v>OK</v>
      </c>
      <c r="L169" s="388" t="str">
        <f t="shared" si="72"/>
        <v>OK</v>
      </c>
      <c r="M169" s="388" t="str">
        <f t="shared" si="72"/>
        <v>OK</v>
      </c>
      <c r="N169" s="388" t="str">
        <f t="shared" si="72"/>
        <v>OK</v>
      </c>
      <c r="O169" s="388" t="str">
        <f t="shared" si="72"/>
        <v>OK</v>
      </c>
      <c r="P169" s="388" t="str">
        <f t="shared" si="72"/>
        <v>OK</v>
      </c>
      <c r="Q169" s="388" t="str">
        <f t="shared" si="72"/>
        <v>OK</v>
      </c>
      <c r="R169" s="388" t="str">
        <f t="shared" si="72"/>
        <v>OK</v>
      </c>
      <c r="S169" s="388" t="str">
        <f t="shared" si="72"/>
        <v>OK</v>
      </c>
      <c r="T169" s="388" t="str">
        <f t="shared" si="72"/>
        <v>OK</v>
      </c>
      <c r="U169" s="388" t="e">
        <f t="shared" si="72"/>
        <v>#REF!</v>
      </c>
      <c r="V169" s="388" t="e">
        <f t="shared" si="72"/>
        <v>#REF!</v>
      </c>
      <c r="W169" s="388" t="e">
        <f t="shared" si="72"/>
        <v>#REF!</v>
      </c>
      <c r="X169" s="388" t="e">
        <f t="shared" si="72"/>
        <v>#REF!</v>
      </c>
      <c r="Y169" s="388" t="e">
        <f t="shared" si="72"/>
        <v>#REF!</v>
      </c>
      <c r="Z169" s="388" t="e">
        <f t="shared" si="72"/>
        <v>#REF!</v>
      </c>
      <c r="AA169" s="388" t="e">
        <f t="shared" si="72"/>
        <v>#REF!</v>
      </c>
      <c r="AB169" s="388" t="e">
        <f t="shared" si="72"/>
        <v>#REF!</v>
      </c>
      <c r="AC169" s="388" t="e">
        <f t="shared" si="72"/>
        <v>#REF!</v>
      </c>
      <c r="AD169" s="388" t="e">
        <f t="shared" si="72"/>
        <v>#REF!</v>
      </c>
      <c r="AE169" s="388" t="e">
        <f t="shared" si="72"/>
        <v>#REF!</v>
      </c>
      <c r="AF169" s="388" t="e">
        <f t="shared" si="72"/>
        <v>#REF!</v>
      </c>
      <c r="AG169" s="388" t="e">
        <f t="shared" si="72"/>
        <v>#REF!</v>
      </c>
      <c r="AH169" s="388" t="e">
        <f t="shared" si="72"/>
        <v>#REF!</v>
      </c>
      <c r="AI169" s="388" t="e">
        <f t="shared" si="72"/>
        <v>#REF!</v>
      </c>
      <c r="AJ169" s="388" t="e">
        <f t="shared" si="72"/>
        <v>#REF!</v>
      </c>
      <c r="AK169" s="388" t="e">
        <f t="shared" si="72"/>
        <v>#REF!</v>
      </c>
      <c r="AL169" s="388" t="e">
        <f t="shared" si="72"/>
        <v>#REF!</v>
      </c>
      <c r="AM169" s="388" t="e">
        <f t="shared" si="72"/>
        <v>#REF!</v>
      </c>
      <c r="AN169" s="389" t="e">
        <f t="shared" si="72"/>
        <v>#REF!</v>
      </c>
    </row>
    <row r="170" spans="1:40" ht="12.75" outlineLevel="2">
      <c r="A170" s="382" t="s">
        <v>297</v>
      </c>
      <c r="B170" s="382"/>
      <c r="C170" s="382"/>
      <c r="D170" s="382"/>
      <c r="E170" s="382"/>
      <c r="F170" s="394" t="s">
        <v>298</v>
      </c>
      <c r="G170" s="384"/>
      <c r="H170" s="385"/>
      <c r="I170" s="385"/>
      <c r="J170" s="386"/>
      <c r="K170" s="387" t="str">
        <f aca="true" t="shared" si="73" ref="K170:AN170">IF(K49&gt;=K90,"OK","BŁĄD")</f>
        <v>OK</v>
      </c>
      <c r="L170" s="388" t="str">
        <f t="shared" si="73"/>
        <v>OK</v>
      </c>
      <c r="M170" s="388" t="str">
        <f t="shared" si="73"/>
        <v>OK</v>
      </c>
      <c r="N170" s="388" t="str">
        <f t="shared" si="73"/>
        <v>OK</v>
      </c>
      <c r="O170" s="388" t="str">
        <f t="shared" si="73"/>
        <v>OK</v>
      </c>
      <c r="P170" s="388" t="str">
        <f t="shared" si="73"/>
        <v>OK</v>
      </c>
      <c r="Q170" s="388" t="str">
        <f t="shared" si="73"/>
        <v>OK</v>
      </c>
      <c r="R170" s="388" t="str">
        <f t="shared" si="73"/>
        <v>OK</v>
      </c>
      <c r="S170" s="388" t="str">
        <f t="shared" si="73"/>
        <v>OK</v>
      </c>
      <c r="T170" s="388" t="str">
        <f t="shared" si="73"/>
        <v>OK</v>
      </c>
      <c r="U170" s="388" t="e">
        <f t="shared" si="73"/>
        <v>#REF!</v>
      </c>
      <c r="V170" s="388" t="e">
        <f t="shared" si="73"/>
        <v>#REF!</v>
      </c>
      <c r="W170" s="388" t="e">
        <f t="shared" si="73"/>
        <v>#REF!</v>
      </c>
      <c r="X170" s="388" t="e">
        <f t="shared" si="73"/>
        <v>#REF!</v>
      </c>
      <c r="Y170" s="388" t="e">
        <f t="shared" si="73"/>
        <v>#REF!</v>
      </c>
      <c r="Z170" s="388" t="e">
        <f t="shared" si="73"/>
        <v>#REF!</v>
      </c>
      <c r="AA170" s="388" t="e">
        <f t="shared" si="73"/>
        <v>#REF!</v>
      </c>
      <c r="AB170" s="388" t="e">
        <f t="shared" si="73"/>
        <v>#REF!</v>
      </c>
      <c r="AC170" s="388" t="e">
        <f t="shared" si="73"/>
        <v>#REF!</v>
      </c>
      <c r="AD170" s="388" t="e">
        <f t="shared" si="73"/>
        <v>#REF!</v>
      </c>
      <c r="AE170" s="388" t="e">
        <f t="shared" si="73"/>
        <v>#REF!</v>
      </c>
      <c r="AF170" s="388" t="e">
        <f t="shared" si="73"/>
        <v>#REF!</v>
      </c>
      <c r="AG170" s="388" t="e">
        <f t="shared" si="73"/>
        <v>#REF!</v>
      </c>
      <c r="AH170" s="388" t="e">
        <f t="shared" si="73"/>
        <v>#REF!</v>
      </c>
      <c r="AI170" s="388" t="e">
        <f t="shared" si="73"/>
        <v>#REF!</v>
      </c>
      <c r="AJ170" s="388" t="e">
        <f t="shared" si="73"/>
        <v>#REF!</v>
      </c>
      <c r="AK170" s="388" t="e">
        <f t="shared" si="73"/>
        <v>#REF!</v>
      </c>
      <c r="AL170" s="388" t="e">
        <f t="shared" si="73"/>
        <v>#REF!</v>
      </c>
      <c r="AM170" s="388" t="e">
        <f t="shared" si="73"/>
        <v>#REF!</v>
      </c>
      <c r="AN170" s="389" t="e">
        <f t="shared" si="73"/>
        <v>#REF!</v>
      </c>
    </row>
    <row r="171" spans="1:40" ht="12.75" outlineLevel="2">
      <c r="A171" s="398" t="s">
        <v>299</v>
      </c>
      <c r="B171" s="398"/>
      <c r="C171" s="398"/>
      <c r="D171" s="398"/>
      <c r="E171" s="398"/>
      <c r="F171" s="399" t="s">
        <v>300</v>
      </c>
      <c r="G171" s="400"/>
      <c r="H171" s="401"/>
      <c r="I171" s="401"/>
      <c r="J171" s="402"/>
      <c r="K171" s="403" t="str">
        <f aca="true" t="shared" si="74" ref="K171:AN171">IF(K26&lt;&gt;0,IF(K27&lt;&gt;0,"OK","BŁĄD"),"N/D")</f>
        <v>OK</v>
      </c>
      <c r="L171" s="404" t="str">
        <f t="shared" si="74"/>
        <v>OK</v>
      </c>
      <c r="M171" s="404" t="str">
        <f t="shared" si="74"/>
        <v>OK</v>
      </c>
      <c r="N171" s="404" t="str">
        <f t="shared" si="74"/>
        <v>OK</v>
      </c>
      <c r="O171" s="404" t="str">
        <f t="shared" si="74"/>
        <v>OK</v>
      </c>
      <c r="P171" s="404" t="str">
        <f t="shared" si="74"/>
        <v>OK</v>
      </c>
      <c r="Q171" s="404" t="str">
        <f t="shared" si="74"/>
        <v>OK</v>
      </c>
      <c r="R171" s="404" t="str">
        <f t="shared" si="74"/>
        <v>OK</v>
      </c>
      <c r="S171" s="404" t="str">
        <f t="shared" si="74"/>
        <v>OK</v>
      </c>
      <c r="T171" s="404" t="str">
        <f t="shared" si="74"/>
        <v>OK</v>
      </c>
      <c r="U171" s="404" t="e">
        <f t="shared" si="74"/>
        <v>#REF!</v>
      </c>
      <c r="V171" s="404" t="e">
        <f t="shared" si="74"/>
        <v>#REF!</v>
      </c>
      <c r="W171" s="404" t="e">
        <f t="shared" si="74"/>
        <v>#REF!</v>
      </c>
      <c r="X171" s="404" t="e">
        <f t="shared" si="74"/>
        <v>#REF!</v>
      </c>
      <c r="Y171" s="404" t="e">
        <f t="shared" si="74"/>
        <v>#REF!</v>
      </c>
      <c r="Z171" s="404" t="e">
        <f t="shared" si="74"/>
        <v>#REF!</v>
      </c>
      <c r="AA171" s="404" t="e">
        <f t="shared" si="74"/>
        <v>#REF!</v>
      </c>
      <c r="AB171" s="404" t="e">
        <f t="shared" si="74"/>
        <v>#REF!</v>
      </c>
      <c r="AC171" s="404" t="e">
        <f t="shared" si="74"/>
        <v>#REF!</v>
      </c>
      <c r="AD171" s="404" t="e">
        <f t="shared" si="74"/>
        <v>#REF!</v>
      </c>
      <c r="AE171" s="404" t="e">
        <f t="shared" si="74"/>
        <v>#REF!</v>
      </c>
      <c r="AF171" s="404" t="e">
        <f t="shared" si="74"/>
        <v>#REF!</v>
      </c>
      <c r="AG171" s="404" t="e">
        <f t="shared" si="74"/>
        <v>#REF!</v>
      </c>
      <c r="AH171" s="404" t="e">
        <f t="shared" si="74"/>
        <v>#REF!</v>
      </c>
      <c r="AI171" s="404" t="e">
        <f t="shared" si="74"/>
        <v>#REF!</v>
      </c>
      <c r="AJ171" s="404" t="e">
        <f t="shared" si="74"/>
        <v>#REF!</v>
      </c>
      <c r="AK171" s="404" t="e">
        <f t="shared" si="74"/>
        <v>#REF!</v>
      </c>
      <c r="AL171" s="404" t="e">
        <f t="shared" si="74"/>
        <v>#REF!</v>
      </c>
      <c r="AM171" s="404" t="e">
        <f t="shared" si="74"/>
        <v>#REF!</v>
      </c>
      <c r="AN171" s="405" t="e">
        <f t="shared" si="74"/>
        <v>#REF!</v>
      </c>
    </row>
    <row r="172" spans="1:40" ht="12.75" outlineLevel="2">
      <c r="A172" s="406"/>
      <c r="B172" s="406"/>
      <c r="C172" s="406"/>
      <c r="D172" s="406"/>
      <c r="E172" s="406"/>
      <c r="F172" s="406"/>
      <c r="G172" s="371"/>
      <c r="H172" s="371"/>
      <c r="I172" s="371"/>
      <c r="J172" s="371"/>
      <c r="K172" s="370"/>
      <c r="L172" s="370"/>
      <c r="M172" s="370"/>
      <c r="N172" s="370"/>
      <c r="O172" s="370"/>
      <c r="P172" s="370"/>
      <c r="Q172" s="370"/>
      <c r="R172" s="370"/>
      <c r="S172" s="370"/>
      <c r="T172" s="370"/>
      <c r="U172" s="370"/>
      <c r="V172" s="370"/>
      <c r="W172" s="370"/>
      <c r="X172" s="370"/>
      <c r="Y172" s="370"/>
      <c r="Z172" s="370"/>
      <c r="AA172" s="370"/>
      <c r="AB172" s="370"/>
      <c r="AC172" s="370"/>
      <c r="AD172" s="370"/>
      <c r="AE172" s="370"/>
      <c r="AF172" s="370"/>
      <c r="AG172" s="370"/>
      <c r="AH172" s="370"/>
      <c r="AI172" s="370"/>
      <c r="AJ172" s="370"/>
      <c r="AK172" s="370"/>
      <c r="AL172" s="370"/>
      <c r="AM172" s="370"/>
      <c r="AN172" s="370"/>
    </row>
    <row r="173" spans="1:40" ht="12.75" outlineLevel="1">
      <c r="A173" s="406"/>
      <c r="B173" s="406"/>
      <c r="C173" s="406"/>
      <c r="D173" s="406"/>
      <c r="E173" s="406"/>
      <c r="F173" s="81" t="s">
        <v>301</v>
      </c>
      <c r="G173" s="371"/>
      <c r="H173" s="371"/>
      <c r="I173" s="371"/>
      <c r="J173" s="371"/>
      <c r="K173" s="370"/>
      <c r="L173" s="370"/>
      <c r="M173" s="370"/>
      <c r="N173" s="370"/>
      <c r="O173" s="370"/>
      <c r="P173" s="370"/>
      <c r="Q173" s="370"/>
      <c r="R173" s="370"/>
      <c r="S173" s="370"/>
      <c r="T173" s="370"/>
      <c r="U173" s="370"/>
      <c r="V173" s="370"/>
      <c r="W173" s="370"/>
      <c r="X173" s="370"/>
      <c r="Y173" s="370"/>
      <c r="Z173" s="370"/>
      <c r="AA173" s="370"/>
      <c r="AB173" s="370"/>
      <c r="AC173" s="370"/>
      <c r="AD173" s="370"/>
      <c r="AE173" s="370"/>
      <c r="AF173" s="370"/>
      <c r="AG173" s="370"/>
      <c r="AH173" s="370"/>
      <c r="AI173" s="370"/>
      <c r="AJ173" s="370"/>
      <c r="AK173" s="370"/>
      <c r="AL173" s="370"/>
      <c r="AM173" s="370"/>
      <c r="AN173" s="370"/>
    </row>
    <row r="174" spans="6:40" s="7" customFormat="1" ht="12.75" outlineLevel="2">
      <c r="F174" s="407" t="s">
        <v>302</v>
      </c>
      <c r="G174" s="408">
        <f aca="true" t="shared" si="75" ref="G174:AN174">G11+G18</f>
        <v>31484876.009999998</v>
      </c>
      <c r="H174" s="409">
        <f t="shared" si="75"/>
        <v>31063442.330000002</v>
      </c>
      <c r="I174" s="409">
        <f t="shared" si="75"/>
        <v>35624119.93</v>
      </c>
      <c r="J174" s="410">
        <f t="shared" si="75"/>
        <v>34438420.27</v>
      </c>
      <c r="K174" s="411">
        <f t="shared" si="75"/>
        <v>31943451.220000003</v>
      </c>
      <c r="L174" s="412">
        <f t="shared" si="75"/>
        <v>30722594.71</v>
      </c>
      <c r="M174" s="412">
        <f t="shared" si="75"/>
        <v>31000000</v>
      </c>
      <c r="N174" s="412">
        <f t="shared" si="75"/>
        <v>31500000</v>
      </c>
      <c r="O174" s="412">
        <f t="shared" si="75"/>
        <v>32000000</v>
      </c>
      <c r="P174" s="412">
        <f t="shared" si="75"/>
        <v>32500000</v>
      </c>
      <c r="Q174" s="412">
        <f t="shared" si="75"/>
        <v>33000000</v>
      </c>
      <c r="R174" s="412">
        <f t="shared" si="75"/>
        <v>33500000</v>
      </c>
      <c r="S174" s="412">
        <f t="shared" si="75"/>
        <v>34000000</v>
      </c>
      <c r="T174" s="412">
        <f t="shared" si="75"/>
        <v>34500000</v>
      </c>
      <c r="U174" s="412" t="e">
        <f t="shared" si="75"/>
        <v>#REF!</v>
      </c>
      <c r="V174" s="412" t="e">
        <f t="shared" si="75"/>
        <v>#REF!</v>
      </c>
      <c r="W174" s="412" t="e">
        <f t="shared" si="75"/>
        <v>#REF!</v>
      </c>
      <c r="X174" s="412" t="e">
        <f t="shared" si="75"/>
        <v>#REF!</v>
      </c>
      <c r="Y174" s="412" t="e">
        <f t="shared" si="75"/>
        <v>#REF!</v>
      </c>
      <c r="Z174" s="412" t="e">
        <f t="shared" si="75"/>
        <v>#REF!</v>
      </c>
      <c r="AA174" s="412" t="e">
        <f t="shared" si="75"/>
        <v>#REF!</v>
      </c>
      <c r="AB174" s="412" t="e">
        <f t="shared" si="75"/>
        <v>#REF!</v>
      </c>
      <c r="AC174" s="412" t="e">
        <f t="shared" si="75"/>
        <v>#REF!</v>
      </c>
      <c r="AD174" s="412" t="e">
        <f t="shared" si="75"/>
        <v>#REF!</v>
      </c>
      <c r="AE174" s="412" t="e">
        <f t="shared" si="75"/>
        <v>#REF!</v>
      </c>
      <c r="AF174" s="412" t="e">
        <f t="shared" si="75"/>
        <v>#REF!</v>
      </c>
      <c r="AG174" s="412" t="e">
        <f t="shared" si="75"/>
        <v>#REF!</v>
      </c>
      <c r="AH174" s="412" t="e">
        <f t="shared" si="75"/>
        <v>#REF!</v>
      </c>
      <c r="AI174" s="412" t="e">
        <f t="shared" si="75"/>
        <v>#REF!</v>
      </c>
      <c r="AJ174" s="412" t="e">
        <f t="shared" si="75"/>
        <v>#REF!</v>
      </c>
      <c r="AK174" s="412" t="e">
        <f t="shared" si="75"/>
        <v>#REF!</v>
      </c>
      <c r="AL174" s="412" t="e">
        <f t="shared" si="75"/>
        <v>#REF!</v>
      </c>
      <c r="AM174" s="412" t="e">
        <f t="shared" si="75"/>
        <v>#REF!</v>
      </c>
      <c r="AN174" s="413" t="e">
        <f t="shared" si="75"/>
        <v>#REF!</v>
      </c>
    </row>
    <row r="175" spans="6:40" s="7" customFormat="1" ht="12.75" outlineLevel="2">
      <c r="F175" s="414" t="s">
        <v>303</v>
      </c>
      <c r="G175" s="415">
        <f aca="true" t="shared" si="76" ref="G175:AN175">G22+G28</f>
        <v>34609335.7</v>
      </c>
      <c r="H175" s="416">
        <f t="shared" si="76"/>
        <v>31037203.93</v>
      </c>
      <c r="I175" s="416">
        <f t="shared" si="76"/>
        <v>40495660.86</v>
      </c>
      <c r="J175" s="417">
        <f t="shared" si="76"/>
        <v>36384626.19</v>
      </c>
      <c r="K175" s="418">
        <f t="shared" si="76"/>
        <v>34550862.44</v>
      </c>
      <c r="L175" s="419">
        <f t="shared" si="76"/>
        <v>29422594.709999997</v>
      </c>
      <c r="M175" s="419">
        <f t="shared" si="76"/>
        <v>29150000</v>
      </c>
      <c r="N175" s="419">
        <f t="shared" si="76"/>
        <v>29500000</v>
      </c>
      <c r="O175" s="419">
        <f t="shared" si="76"/>
        <v>29800000</v>
      </c>
      <c r="P175" s="419">
        <f t="shared" si="76"/>
        <v>30400000</v>
      </c>
      <c r="Q175" s="419">
        <f t="shared" si="76"/>
        <v>31000000</v>
      </c>
      <c r="R175" s="419">
        <f t="shared" si="76"/>
        <v>31500000</v>
      </c>
      <c r="S175" s="419">
        <f t="shared" si="76"/>
        <v>33000000</v>
      </c>
      <c r="T175" s="419">
        <f t="shared" si="76"/>
        <v>33446631.84</v>
      </c>
      <c r="U175" s="419" t="e">
        <f t="shared" si="76"/>
        <v>#REF!</v>
      </c>
      <c r="V175" s="419" t="e">
        <f t="shared" si="76"/>
        <v>#REF!</v>
      </c>
      <c r="W175" s="419" t="e">
        <f t="shared" si="76"/>
        <v>#REF!</v>
      </c>
      <c r="X175" s="419" t="e">
        <f t="shared" si="76"/>
        <v>#REF!</v>
      </c>
      <c r="Y175" s="419" t="e">
        <f t="shared" si="76"/>
        <v>#REF!</v>
      </c>
      <c r="Z175" s="419" t="e">
        <f t="shared" si="76"/>
        <v>#REF!</v>
      </c>
      <c r="AA175" s="419" t="e">
        <f t="shared" si="76"/>
        <v>#REF!</v>
      </c>
      <c r="AB175" s="419" t="e">
        <f t="shared" si="76"/>
        <v>#REF!</v>
      </c>
      <c r="AC175" s="419" t="e">
        <f t="shared" si="76"/>
        <v>#REF!</v>
      </c>
      <c r="AD175" s="419" t="e">
        <f t="shared" si="76"/>
        <v>#REF!</v>
      </c>
      <c r="AE175" s="419" t="e">
        <f t="shared" si="76"/>
        <v>#REF!</v>
      </c>
      <c r="AF175" s="419" t="e">
        <f t="shared" si="76"/>
        <v>#REF!</v>
      </c>
      <c r="AG175" s="419" t="e">
        <f t="shared" si="76"/>
        <v>#REF!</v>
      </c>
      <c r="AH175" s="419" t="e">
        <f t="shared" si="76"/>
        <v>#REF!</v>
      </c>
      <c r="AI175" s="419" t="e">
        <f t="shared" si="76"/>
        <v>#REF!</v>
      </c>
      <c r="AJ175" s="419" t="e">
        <f t="shared" si="76"/>
        <v>#REF!</v>
      </c>
      <c r="AK175" s="419" t="e">
        <f t="shared" si="76"/>
        <v>#REF!</v>
      </c>
      <c r="AL175" s="419" t="e">
        <f t="shared" si="76"/>
        <v>#REF!</v>
      </c>
      <c r="AM175" s="419" t="e">
        <f t="shared" si="76"/>
        <v>#REF!</v>
      </c>
      <c r="AN175" s="420" t="e">
        <f t="shared" si="76"/>
        <v>#REF!</v>
      </c>
    </row>
    <row r="176" spans="6:40" s="7" customFormat="1" ht="12.75" outlineLevel="2">
      <c r="F176" s="414" t="s">
        <v>304</v>
      </c>
      <c r="G176" s="415">
        <f aca="true" t="shared" si="77" ref="G176:AN176">G10-G21</f>
        <v>-3124459.6900000013</v>
      </c>
      <c r="H176" s="416">
        <f t="shared" si="77"/>
        <v>26238.39999999851</v>
      </c>
      <c r="I176" s="416">
        <f t="shared" si="77"/>
        <v>-4871540.93</v>
      </c>
      <c r="J176" s="417">
        <f t="shared" si="77"/>
        <v>-1946205.9199999943</v>
      </c>
      <c r="K176" s="418">
        <f t="shared" si="77"/>
        <v>-2607411.219999995</v>
      </c>
      <c r="L176" s="419">
        <f t="shared" si="77"/>
        <v>1300000.0000000037</v>
      </c>
      <c r="M176" s="419">
        <f t="shared" si="77"/>
        <v>1850000</v>
      </c>
      <c r="N176" s="419">
        <f t="shared" si="77"/>
        <v>2000000</v>
      </c>
      <c r="O176" s="419">
        <f t="shared" si="77"/>
        <v>2200000</v>
      </c>
      <c r="P176" s="419">
        <f t="shared" si="77"/>
        <v>2100000</v>
      </c>
      <c r="Q176" s="419">
        <f t="shared" si="77"/>
        <v>2000000</v>
      </c>
      <c r="R176" s="419">
        <f t="shared" si="77"/>
        <v>2000000</v>
      </c>
      <c r="S176" s="419">
        <f t="shared" si="77"/>
        <v>1000000</v>
      </c>
      <c r="T176" s="419">
        <f t="shared" si="77"/>
        <v>1053368.1600000001</v>
      </c>
      <c r="U176" s="419" t="e">
        <f t="shared" si="77"/>
        <v>#REF!</v>
      </c>
      <c r="V176" s="419" t="e">
        <f t="shared" si="77"/>
        <v>#REF!</v>
      </c>
      <c r="W176" s="419" t="e">
        <f t="shared" si="77"/>
        <v>#REF!</v>
      </c>
      <c r="X176" s="419" t="e">
        <f t="shared" si="77"/>
        <v>#REF!</v>
      </c>
      <c r="Y176" s="419" t="e">
        <f t="shared" si="77"/>
        <v>#REF!</v>
      </c>
      <c r="Z176" s="419" t="e">
        <f t="shared" si="77"/>
        <v>#REF!</v>
      </c>
      <c r="AA176" s="419" t="e">
        <f t="shared" si="77"/>
        <v>#REF!</v>
      </c>
      <c r="AB176" s="419" t="e">
        <f t="shared" si="77"/>
        <v>#REF!</v>
      </c>
      <c r="AC176" s="419" t="e">
        <f t="shared" si="77"/>
        <v>#REF!</v>
      </c>
      <c r="AD176" s="419" t="e">
        <f t="shared" si="77"/>
        <v>#REF!</v>
      </c>
      <c r="AE176" s="419" t="e">
        <f t="shared" si="77"/>
        <v>#REF!</v>
      </c>
      <c r="AF176" s="419" t="e">
        <f t="shared" si="77"/>
        <v>#REF!</v>
      </c>
      <c r="AG176" s="419" t="e">
        <f t="shared" si="77"/>
        <v>#REF!</v>
      </c>
      <c r="AH176" s="419" t="e">
        <f t="shared" si="77"/>
        <v>#REF!</v>
      </c>
      <c r="AI176" s="419" t="e">
        <f t="shared" si="77"/>
        <v>#REF!</v>
      </c>
      <c r="AJ176" s="419" t="e">
        <f t="shared" si="77"/>
        <v>#REF!</v>
      </c>
      <c r="AK176" s="419" t="e">
        <f t="shared" si="77"/>
        <v>#REF!</v>
      </c>
      <c r="AL176" s="419" t="e">
        <f t="shared" si="77"/>
        <v>#REF!</v>
      </c>
      <c r="AM176" s="419" t="e">
        <f t="shared" si="77"/>
        <v>#REF!</v>
      </c>
      <c r="AN176" s="420" t="e">
        <f t="shared" si="77"/>
        <v>#REF!</v>
      </c>
    </row>
    <row r="177" spans="6:40" s="7" customFormat="1" ht="12.75" outlineLevel="2">
      <c r="F177" s="421" t="s">
        <v>305</v>
      </c>
      <c r="G177" s="415">
        <f aca="true" t="shared" si="78" ref="G177:AN177">F44+G35-G40+(G49-F49)+(G99-F99)+G104</f>
        <v>4083460.7199999997</v>
      </c>
      <c r="H177" s="416">
        <f t="shared" si="78"/>
        <v>13906544.860000001</v>
      </c>
      <c r="I177" s="416">
        <f t="shared" si="78"/>
        <v>15821291.95</v>
      </c>
      <c r="J177" s="417">
        <f t="shared" si="78"/>
        <v>17418115.25</v>
      </c>
      <c r="K177" s="418">
        <f t="shared" si="78"/>
        <v>15503368.16</v>
      </c>
      <c r="L177" s="419">
        <f t="shared" si="78"/>
        <v>14203368.16</v>
      </c>
      <c r="M177" s="419">
        <f t="shared" si="78"/>
        <v>12353368.16</v>
      </c>
      <c r="N177" s="419">
        <f t="shared" si="78"/>
        <v>10353368.16</v>
      </c>
      <c r="O177" s="419">
        <f t="shared" si="78"/>
        <v>8153368.16</v>
      </c>
      <c r="P177" s="419">
        <f t="shared" si="78"/>
        <v>6053368.16</v>
      </c>
      <c r="Q177" s="419">
        <f t="shared" si="78"/>
        <v>4053368.16</v>
      </c>
      <c r="R177" s="419">
        <f t="shared" si="78"/>
        <v>2053368.1600000001</v>
      </c>
      <c r="S177" s="419">
        <f t="shared" si="78"/>
        <v>1053368.1600000001</v>
      </c>
      <c r="T177" s="419">
        <f t="shared" si="78"/>
        <v>0</v>
      </c>
      <c r="U177" s="419" t="e">
        <f t="shared" si="78"/>
        <v>#REF!</v>
      </c>
      <c r="V177" s="419" t="e">
        <f t="shared" si="78"/>
        <v>#REF!</v>
      </c>
      <c r="W177" s="419" t="e">
        <f t="shared" si="78"/>
        <v>#REF!</v>
      </c>
      <c r="X177" s="419" t="e">
        <f t="shared" si="78"/>
        <v>#REF!</v>
      </c>
      <c r="Y177" s="419" t="e">
        <f t="shared" si="78"/>
        <v>#REF!</v>
      </c>
      <c r="Z177" s="419" t="e">
        <f t="shared" si="78"/>
        <v>#REF!</v>
      </c>
      <c r="AA177" s="419" t="e">
        <f t="shared" si="78"/>
        <v>#REF!</v>
      </c>
      <c r="AB177" s="419" t="e">
        <f t="shared" si="78"/>
        <v>#REF!</v>
      </c>
      <c r="AC177" s="419" t="e">
        <f t="shared" si="78"/>
        <v>#REF!</v>
      </c>
      <c r="AD177" s="419" t="e">
        <f t="shared" si="78"/>
        <v>#REF!</v>
      </c>
      <c r="AE177" s="419" t="e">
        <f t="shared" si="78"/>
        <v>#REF!</v>
      </c>
      <c r="AF177" s="419" t="e">
        <f t="shared" si="78"/>
        <v>#REF!</v>
      </c>
      <c r="AG177" s="419" t="e">
        <f t="shared" si="78"/>
        <v>#REF!</v>
      </c>
      <c r="AH177" s="419" t="e">
        <f t="shared" si="78"/>
        <v>#REF!</v>
      </c>
      <c r="AI177" s="419" t="e">
        <f t="shared" si="78"/>
        <v>#REF!</v>
      </c>
      <c r="AJ177" s="419" t="e">
        <f t="shared" si="78"/>
        <v>#REF!</v>
      </c>
      <c r="AK177" s="419" t="e">
        <f t="shared" si="78"/>
        <v>#REF!</v>
      </c>
      <c r="AL177" s="419" t="e">
        <f t="shared" si="78"/>
        <v>#REF!</v>
      </c>
      <c r="AM177" s="419" t="e">
        <f t="shared" si="78"/>
        <v>#REF!</v>
      </c>
      <c r="AN177" s="420" t="e">
        <f t="shared" si="78"/>
        <v>#REF!</v>
      </c>
    </row>
    <row r="178" spans="6:40" s="7" customFormat="1" ht="12.75" outlineLevel="2">
      <c r="F178" s="422" t="s">
        <v>306</v>
      </c>
      <c r="G178" s="423" t="s">
        <v>39</v>
      </c>
      <c r="H178" s="424">
        <f>G90-(H92+H93+H94+H95)</f>
        <v>0</v>
      </c>
      <c r="I178" s="424">
        <f aca="true" t="shared" si="79" ref="I178:AN178">H90-(I92+I93+I94+I95)</f>
        <v>0</v>
      </c>
      <c r="J178" s="425">
        <f t="shared" si="79"/>
        <v>0</v>
      </c>
      <c r="K178" s="426">
        <f t="shared" si="79"/>
        <v>0</v>
      </c>
      <c r="L178" s="427">
        <f t="shared" si="79"/>
        <v>0</v>
      </c>
      <c r="M178" s="427">
        <f t="shared" si="79"/>
        <v>0</v>
      </c>
      <c r="N178" s="427">
        <f t="shared" si="79"/>
        <v>0</v>
      </c>
      <c r="O178" s="427">
        <f t="shared" si="79"/>
        <v>0</v>
      </c>
      <c r="P178" s="427">
        <f t="shared" si="79"/>
        <v>0</v>
      </c>
      <c r="Q178" s="427">
        <f t="shared" si="79"/>
        <v>0</v>
      </c>
      <c r="R178" s="427">
        <f t="shared" si="79"/>
        <v>0</v>
      </c>
      <c r="S178" s="427">
        <f t="shared" si="79"/>
        <v>0</v>
      </c>
      <c r="T178" s="427">
        <f t="shared" si="79"/>
        <v>0</v>
      </c>
      <c r="U178" s="427" t="e">
        <f t="shared" si="79"/>
        <v>#REF!</v>
      </c>
      <c r="V178" s="427" t="e">
        <f t="shared" si="79"/>
        <v>#REF!</v>
      </c>
      <c r="W178" s="427" t="e">
        <f t="shared" si="79"/>
        <v>#REF!</v>
      </c>
      <c r="X178" s="427" t="e">
        <f t="shared" si="79"/>
        <v>#REF!</v>
      </c>
      <c r="Y178" s="427" t="e">
        <f t="shared" si="79"/>
        <v>#REF!</v>
      </c>
      <c r="Z178" s="427" t="e">
        <f t="shared" si="79"/>
        <v>#REF!</v>
      </c>
      <c r="AA178" s="427" t="e">
        <f t="shared" si="79"/>
        <v>#REF!</v>
      </c>
      <c r="AB178" s="427" t="e">
        <f t="shared" si="79"/>
        <v>#REF!</v>
      </c>
      <c r="AC178" s="427" t="e">
        <f t="shared" si="79"/>
        <v>#REF!</v>
      </c>
      <c r="AD178" s="427" t="e">
        <f t="shared" si="79"/>
        <v>#REF!</v>
      </c>
      <c r="AE178" s="427" t="e">
        <f t="shared" si="79"/>
        <v>#REF!</v>
      </c>
      <c r="AF178" s="427" t="e">
        <f t="shared" si="79"/>
        <v>#REF!</v>
      </c>
      <c r="AG178" s="427" t="e">
        <f t="shared" si="79"/>
        <v>#REF!</v>
      </c>
      <c r="AH178" s="427" t="e">
        <f t="shared" si="79"/>
        <v>#REF!</v>
      </c>
      <c r="AI178" s="427" t="e">
        <f t="shared" si="79"/>
        <v>#REF!</v>
      </c>
      <c r="AJ178" s="427" t="e">
        <f t="shared" si="79"/>
        <v>#REF!</v>
      </c>
      <c r="AK178" s="427" t="e">
        <f t="shared" si="79"/>
        <v>#REF!</v>
      </c>
      <c r="AL178" s="427" t="e">
        <f t="shared" si="79"/>
        <v>#REF!</v>
      </c>
      <c r="AM178" s="427" t="e">
        <f t="shared" si="79"/>
        <v>#REF!</v>
      </c>
      <c r="AN178" s="428" t="e">
        <f t="shared" si="79"/>
        <v>#REF!</v>
      </c>
    </row>
    <row r="179" spans="7:40" ht="12.75">
      <c r="G179" s="429"/>
      <c r="H179" s="429"/>
      <c r="I179" s="429"/>
      <c r="J179" s="429"/>
      <c r="K179" s="430"/>
      <c r="L179" s="430"/>
      <c r="M179" s="430"/>
      <c r="N179" s="430"/>
      <c r="O179" s="430"/>
      <c r="P179" s="430"/>
      <c r="Q179" s="430"/>
      <c r="R179" s="430"/>
      <c r="S179" s="430"/>
      <c r="T179" s="430"/>
      <c r="U179" s="430"/>
      <c r="V179" s="430"/>
      <c r="W179" s="430"/>
      <c r="X179" s="430"/>
      <c r="Y179" s="430"/>
      <c r="Z179" s="430"/>
      <c r="AA179" s="430"/>
      <c r="AB179" s="430"/>
      <c r="AC179" s="430"/>
      <c r="AD179" s="430"/>
      <c r="AE179" s="430"/>
      <c r="AF179" s="430"/>
      <c r="AG179" s="430"/>
      <c r="AH179" s="430"/>
      <c r="AI179" s="430"/>
      <c r="AJ179" s="430"/>
      <c r="AK179" s="430"/>
      <c r="AL179" s="430"/>
      <c r="AM179" s="430"/>
      <c r="AN179" s="430"/>
    </row>
    <row r="180" spans="6:40" ht="12.75">
      <c r="F180" s="431" t="s">
        <v>307</v>
      </c>
      <c r="G180" s="432"/>
      <c r="H180" s="432"/>
      <c r="I180" s="432"/>
      <c r="J180" s="432"/>
      <c r="K180" s="430"/>
      <c r="L180" s="430"/>
      <c r="M180" s="430"/>
      <c r="N180" s="430"/>
      <c r="O180" s="430"/>
      <c r="P180" s="430"/>
      <c r="Q180" s="430"/>
      <c r="R180" s="430"/>
      <c r="S180" s="430"/>
      <c r="T180" s="430"/>
      <c r="U180" s="430"/>
      <c r="V180" s="430"/>
      <c r="W180" s="430"/>
      <c r="X180" s="430"/>
      <c r="Y180" s="430"/>
      <c r="Z180" s="430"/>
      <c r="AA180" s="430"/>
      <c r="AB180" s="430"/>
      <c r="AC180" s="430"/>
      <c r="AD180" s="430"/>
      <c r="AE180" s="430"/>
      <c r="AF180" s="430"/>
      <c r="AG180" s="430"/>
      <c r="AH180" s="430"/>
      <c r="AI180" s="430"/>
      <c r="AJ180" s="430"/>
      <c r="AK180" s="430"/>
      <c r="AL180" s="430"/>
      <c r="AM180" s="430"/>
      <c r="AN180" s="430"/>
    </row>
    <row r="181" spans="6:40" ht="12.75" outlineLevel="1">
      <c r="F181" s="136" t="s">
        <v>308</v>
      </c>
      <c r="G181" s="433"/>
      <c r="H181" s="433"/>
      <c r="I181" s="433"/>
      <c r="J181" s="433"/>
      <c r="K181" s="430"/>
      <c r="L181" s="430"/>
      <c r="M181" s="430"/>
      <c r="N181" s="430"/>
      <c r="O181" s="430"/>
      <c r="P181" s="430"/>
      <c r="Q181" s="430"/>
      <c r="R181" s="430"/>
      <c r="S181" s="430"/>
      <c r="T181" s="430"/>
      <c r="U181" s="430"/>
      <c r="V181" s="430"/>
      <c r="W181" s="430"/>
      <c r="X181" s="430"/>
      <c r="Y181" s="430"/>
      <c r="Z181" s="430"/>
      <c r="AA181" s="430"/>
      <c r="AB181" s="430"/>
      <c r="AC181" s="430"/>
      <c r="AD181" s="430"/>
      <c r="AE181" s="430"/>
      <c r="AF181" s="430"/>
      <c r="AG181" s="430"/>
      <c r="AH181" s="430"/>
      <c r="AI181" s="430"/>
      <c r="AJ181" s="430"/>
      <c r="AK181" s="430"/>
      <c r="AL181" s="430"/>
      <c r="AM181" s="430"/>
      <c r="AN181" s="430"/>
    </row>
    <row r="182" spans="6:40" ht="12.75" outlineLevel="2">
      <c r="F182" s="434">
        <v>0</v>
      </c>
      <c r="G182" s="435" t="str">
        <f>+"różnica mniejsza od "&amp;TEXT(F182*100,"0,0")&amp;"%"</f>
        <v>różnica mniejsza od 0,0%</v>
      </c>
      <c r="H182" s="140"/>
      <c r="I182" s="140"/>
      <c r="J182" s="140"/>
      <c r="K182" s="436"/>
      <c r="L182" s="437"/>
      <c r="M182" s="437"/>
      <c r="N182" s="437"/>
      <c r="O182" s="437"/>
      <c r="P182" s="437"/>
      <c r="Q182" s="437"/>
      <c r="R182" s="437"/>
      <c r="S182" s="437"/>
      <c r="T182" s="437"/>
      <c r="U182" s="437"/>
      <c r="V182" s="437"/>
      <c r="W182" s="437"/>
      <c r="X182" s="437"/>
      <c r="Y182" s="437"/>
      <c r="Z182" s="437"/>
      <c r="AA182" s="437"/>
      <c r="AB182" s="437"/>
      <c r="AC182" s="437"/>
      <c r="AD182" s="437"/>
      <c r="AE182" s="437"/>
      <c r="AF182" s="437"/>
      <c r="AG182" s="437"/>
      <c r="AH182" s="437"/>
      <c r="AI182" s="437"/>
      <c r="AJ182" s="437"/>
      <c r="AK182" s="437"/>
      <c r="AL182" s="437"/>
      <c r="AM182" s="437"/>
      <c r="AN182" s="437"/>
    </row>
    <row r="183" spans="6:40" ht="12.75" outlineLevel="2">
      <c r="F183" s="438">
        <v>0.005</v>
      </c>
      <c r="G183" s="435" t="str">
        <f>+"różnica mniejsza od "&amp;TEXT(F183*100,"0,0")&amp;"%"</f>
        <v>różnica mniejsza od 0,5%</v>
      </c>
      <c r="H183" s="140"/>
      <c r="I183" s="140"/>
      <c r="J183" s="140"/>
      <c r="K183" s="436"/>
      <c r="L183" s="437"/>
      <c r="M183" s="437"/>
      <c r="N183" s="437"/>
      <c r="O183" s="437"/>
      <c r="P183" s="437"/>
      <c r="Q183" s="437"/>
      <c r="R183" s="437"/>
      <c r="S183" s="437"/>
      <c r="T183" s="437"/>
      <c r="U183" s="437"/>
      <c r="V183" s="437"/>
      <c r="W183" s="437"/>
      <c r="X183" s="437"/>
      <c r="Y183" s="437"/>
      <c r="Z183" s="437"/>
      <c r="AA183" s="437"/>
      <c r="AB183" s="437"/>
      <c r="AC183" s="437"/>
      <c r="AD183" s="437"/>
      <c r="AE183" s="437"/>
      <c r="AF183" s="437"/>
      <c r="AG183" s="437"/>
      <c r="AH183" s="437"/>
      <c r="AI183" s="437"/>
      <c r="AJ183" s="437"/>
      <c r="AK183" s="437"/>
      <c r="AL183" s="437"/>
      <c r="AM183" s="437"/>
      <c r="AN183" s="437"/>
    </row>
    <row r="184" spans="6:40" ht="12.75" outlineLevel="2">
      <c r="F184" s="439">
        <v>0.01</v>
      </c>
      <c r="G184" s="435" t="str">
        <f>+"różnica mniejsza od "&amp;TEXT(F184*100,"0,0")&amp;"%"</f>
        <v>różnica mniejsza od 1,0%</v>
      </c>
      <c r="H184" s="140"/>
      <c r="I184" s="140"/>
      <c r="J184" s="140"/>
      <c r="K184" s="436"/>
      <c r="L184" s="437"/>
      <c r="M184" s="437"/>
      <c r="N184" s="437"/>
      <c r="O184" s="437"/>
      <c r="P184" s="437"/>
      <c r="Q184" s="437"/>
      <c r="R184" s="437"/>
      <c r="S184" s="437"/>
      <c r="T184" s="437"/>
      <c r="U184" s="437"/>
      <c r="V184" s="437"/>
      <c r="W184" s="437"/>
      <c r="X184" s="437"/>
      <c r="Y184" s="437"/>
      <c r="Z184" s="437"/>
      <c r="AA184" s="437"/>
      <c r="AB184" s="437"/>
      <c r="AC184" s="437"/>
      <c r="AD184" s="437"/>
      <c r="AE184" s="437"/>
      <c r="AF184" s="437"/>
      <c r="AG184" s="437"/>
      <c r="AH184" s="437"/>
      <c r="AI184" s="437"/>
      <c r="AJ184" s="437"/>
      <c r="AK184" s="437"/>
      <c r="AL184" s="437"/>
      <c r="AM184" s="437"/>
      <c r="AN184" s="437"/>
    </row>
    <row r="185" spans="6:40" ht="12.75" outlineLevel="2">
      <c r="F185" s="440" t="s">
        <v>379</v>
      </c>
      <c r="G185" s="441">
        <f aca="true" t="shared" si="80" ref="G185:AN185">+IF(G10=0,"",G61-G56)</f>
        <v>-0.0756</v>
      </c>
      <c r="H185" s="442">
        <f t="shared" si="80"/>
        <v>-0.1061</v>
      </c>
      <c r="I185" s="442">
        <f t="shared" si="80"/>
        <v>-0.0797</v>
      </c>
      <c r="J185" s="443">
        <f t="shared" si="80"/>
        <v>-0.032036201299693354</v>
      </c>
      <c r="K185" s="444">
        <f t="shared" si="80"/>
        <v>-0.046955564267286094</v>
      </c>
      <c r="L185" s="445">
        <f t="shared" si="80"/>
        <v>0.0010215516017786364</v>
      </c>
      <c r="M185" s="445">
        <f t="shared" si="80"/>
        <v>0.004057557395627062</v>
      </c>
      <c r="N185" s="445">
        <f t="shared" si="80"/>
        <v>0.041871904706485746</v>
      </c>
      <c r="O185" s="445">
        <f t="shared" si="80"/>
        <v>0.045025305713903216</v>
      </c>
      <c r="P185" s="445">
        <f t="shared" si="80"/>
        <v>0.05334969622671236</v>
      </c>
      <c r="Q185" s="445">
        <f t="shared" si="80"/>
        <v>0.06173273254523251</v>
      </c>
      <c r="R185" s="445">
        <f t="shared" si="80"/>
        <v>0.06422223309443459</v>
      </c>
      <c r="S185" s="445">
        <f t="shared" si="80"/>
        <v>0.09529768305053643</v>
      </c>
      <c r="T185" s="445">
        <f t="shared" si="80"/>
        <v>0.09617798820366122</v>
      </c>
      <c r="U185" s="445" t="e">
        <f t="shared" si="80"/>
        <v>#REF!</v>
      </c>
      <c r="V185" s="445" t="e">
        <f t="shared" si="80"/>
        <v>#REF!</v>
      </c>
      <c r="W185" s="445" t="e">
        <f t="shared" si="80"/>
        <v>#REF!</v>
      </c>
      <c r="X185" s="445" t="e">
        <f t="shared" si="80"/>
        <v>#REF!</v>
      </c>
      <c r="Y185" s="445" t="e">
        <f t="shared" si="80"/>
        <v>#REF!</v>
      </c>
      <c r="Z185" s="445" t="e">
        <f t="shared" si="80"/>
        <v>#REF!</v>
      </c>
      <c r="AA185" s="445" t="e">
        <f t="shared" si="80"/>
        <v>#REF!</v>
      </c>
      <c r="AB185" s="445" t="e">
        <f t="shared" si="80"/>
        <v>#REF!</v>
      </c>
      <c r="AC185" s="445" t="e">
        <f t="shared" si="80"/>
        <v>#REF!</v>
      </c>
      <c r="AD185" s="445" t="e">
        <f t="shared" si="80"/>
        <v>#REF!</v>
      </c>
      <c r="AE185" s="445" t="e">
        <f t="shared" si="80"/>
        <v>#REF!</v>
      </c>
      <c r="AF185" s="445" t="e">
        <f t="shared" si="80"/>
        <v>#REF!</v>
      </c>
      <c r="AG185" s="445" t="e">
        <f t="shared" si="80"/>
        <v>#REF!</v>
      </c>
      <c r="AH185" s="445" t="e">
        <f t="shared" si="80"/>
        <v>#REF!</v>
      </c>
      <c r="AI185" s="445" t="e">
        <f t="shared" si="80"/>
        <v>#REF!</v>
      </c>
      <c r="AJ185" s="445" t="e">
        <f t="shared" si="80"/>
        <v>#REF!</v>
      </c>
      <c r="AK185" s="445" t="e">
        <f t="shared" si="80"/>
        <v>#REF!</v>
      </c>
      <c r="AL185" s="445" t="e">
        <f t="shared" si="80"/>
        <v>#REF!</v>
      </c>
      <c r="AM185" s="445" t="e">
        <f t="shared" si="80"/>
        <v>#REF!</v>
      </c>
      <c r="AN185" s="446" t="e">
        <f t="shared" si="80"/>
        <v>#REF!</v>
      </c>
    </row>
    <row r="186" spans="6:40" ht="12.75" outlineLevel="2">
      <c r="F186" s="447" t="s">
        <v>380</v>
      </c>
      <c r="G186" s="448">
        <f aca="true" t="shared" si="81" ref="G186:AN186">+IF(G10=0,"",G61-G57)</f>
        <v>-0.0756</v>
      </c>
      <c r="H186" s="449">
        <f t="shared" si="81"/>
        <v>-0.1061</v>
      </c>
      <c r="I186" s="449">
        <f t="shared" si="81"/>
        <v>-0.0797</v>
      </c>
      <c r="J186" s="450">
        <f t="shared" si="81"/>
        <v>-0.032036201299693354</v>
      </c>
      <c r="K186" s="451">
        <f t="shared" si="81"/>
        <v>-0.046955564267286094</v>
      </c>
      <c r="L186" s="452">
        <f t="shared" si="81"/>
        <v>0.0010215516017786364</v>
      </c>
      <c r="M186" s="452">
        <f t="shared" si="81"/>
        <v>0.004057557395627062</v>
      </c>
      <c r="N186" s="452">
        <f t="shared" si="81"/>
        <v>0.041871904706485746</v>
      </c>
      <c r="O186" s="452">
        <f t="shared" si="81"/>
        <v>0.045025305713903216</v>
      </c>
      <c r="P186" s="452">
        <f t="shared" si="81"/>
        <v>0.05334969622671236</v>
      </c>
      <c r="Q186" s="452">
        <f t="shared" si="81"/>
        <v>0.06173273254523251</v>
      </c>
      <c r="R186" s="452">
        <f t="shared" si="81"/>
        <v>0.06422223309443459</v>
      </c>
      <c r="S186" s="452">
        <f t="shared" si="81"/>
        <v>0.09529768305053643</v>
      </c>
      <c r="T186" s="452">
        <f t="shared" si="81"/>
        <v>0.09617798820366122</v>
      </c>
      <c r="U186" s="452" t="e">
        <f t="shared" si="81"/>
        <v>#REF!</v>
      </c>
      <c r="V186" s="452" t="e">
        <f t="shared" si="81"/>
        <v>#REF!</v>
      </c>
      <c r="W186" s="452" t="e">
        <f t="shared" si="81"/>
        <v>#REF!</v>
      </c>
      <c r="X186" s="452" t="e">
        <f t="shared" si="81"/>
        <v>#REF!</v>
      </c>
      <c r="Y186" s="452" t="e">
        <f t="shared" si="81"/>
        <v>#REF!</v>
      </c>
      <c r="Z186" s="452" t="e">
        <f t="shared" si="81"/>
        <v>#REF!</v>
      </c>
      <c r="AA186" s="452" t="e">
        <f t="shared" si="81"/>
        <v>#REF!</v>
      </c>
      <c r="AB186" s="452" t="e">
        <f t="shared" si="81"/>
        <v>#REF!</v>
      </c>
      <c r="AC186" s="452" t="e">
        <f t="shared" si="81"/>
        <v>#REF!</v>
      </c>
      <c r="AD186" s="452" t="e">
        <f t="shared" si="81"/>
        <v>#REF!</v>
      </c>
      <c r="AE186" s="452" t="e">
        <f t="shared" si="81"/>
        <v>#REF!</v>
      </c>
      <c r="AF186" s="452" t="e">
        <f t="shared" si="81"/>
        <v>#REF!</v>
      </c>
      <c r="AG186" s="452" t="e">
        <f t="shared" si="81"/>
        <v>#REF!</v>
      </c>
      <c r="AH186" s="452" t="e">
        <f t="shared" si="81"/>
        <v>#REF!</v>
      </c>
      <c r="AI186" s="452" t="e">
        <f t="shared" si="81"/>
        <v>#REF!</v>
      </c>
      <c r="AJ186" s="452" t="e">
        <f t="shared" si="81"/>
        <v>#REF!</v>
      </c>
      <c r="AK186" s="452" t="e">
        <f t="shared" si="81"/>
        <v>#REF!</v>
      </c>
      <c r="AL186" s="452" t="e">
        <f t="shared" si="81"/>
        <v>#REF!</v>
      </c>
      <c r="AM186" s="452" t="e">
        <f t="shared" si="81"/>
        <v>#REF!</v>
      </c>
      <c r="AN186" s="453" t="e">
        <f t="shared" si="81"/>
        <v>#REF!</v>
      </c>
    </row>
    <row r="187" spans="6:40" ht="12.75" outlineLevel="2">
      <c r="F187" s="440" t="s">
        <v>381</v>
      </c>
      <c r="G187" s="441">
        <f aca="true" t="shared" si="82" ref="G187:AN187">+IF(G10=0,"",G62-G56)</f>
        <v>-0.0756</v>
      </c>
      <c r="H187" s="442">
        <f t="shared" si="82"/>
        <v>-0.1061</v>
      </c>
      <c r="I187" s="442">
        <f t="shared" si="82"/>
        <v>-0.0797</v>
      </c>
      <c r="J187" s="443">
        <f t="shared" si="82"/>
        <v>-0.04935647165622349</v>
      </c>
      <c r="K187" s="444">
        <f t="shared" si="82"/>
        <v>-0.027383867357131914</v>
      </c>
      <c r="L187" s="445">
        <f t="shared" si="82"/>
        <v>0.02059324851193281</v>
      </c>
      <c r="M187" s="445">
        <f t="shared" si="82"/>
        <v>0.023629254305781236</v>
      </c>
      <c r="N187" s="445">
        <f t="shared" si="82"/>
        <v>0.041871904706485746</v>
      </c>
      <c r="O187" s="445">
        <f t="shared" si="82"/>
        <v>0.045025305713903216</v>
      </c>
      <c r="P187" s="445">
        <f t="shared" si="82"/>
        <v>0.05334969622671236</v>
      </c>
      <c r="Q187" s="445">
        <f t="shared" si="82"/>
        <v>0.06173273254523251</v>
      </c>
      <c r="R187" s="445">
        <f t="shared" si="82"/>
        <v>0.06422223309443459</v>
      </c>
      <c r="S187" s="445">
        <f t="shared" si="82"/>
        <v>0.09529768305053643</v>
      </c>
      <c r="T187" s="445">
        <f t="shared" si="82"/>
        <v>0.09617798820366122</v>
      </c>
      <c r="U187" s="445" t="e">
        <f t="shared" si="82"/>
        <v>#REF!</v>
      </c>
      <c r="V187" s="445" t="e">
        <f t="shared" si="82"/>
        <v>#REF!</v>
      </c>
      <c r="W187" s="445" t="e">
        <f t="shared" si="82"/>
        <v>#REF!</v>
      </c>
      <c r="X187" s="445" t="e">
        <f t="shared" si="82"/>
        <v>#REF!</v>
      </c>
      <c r="Y187" s="445" t="e">
        <f t="shared" si="82"/>
        <v>#REF!</v>
      </c>
      <c r="Z187" s="445" t="e">
        <f t="shared" si="82"/>
        <v>#REF!</v>
      </c>
      <c r="AA187" s="445" t="e">
        <f t="shared" si="82"/>
        <v>#REF!</v>
      </c>
      <c r="AB187" s="445" t="e">
        <f t="shared" si="82"/>
        <v>#REF!</v>
      </c>
      <c r="AC187" s="445" t="e">
        <f t="shared" si="82"/>
        <v>#REF!</v>
      </c>
      <c r="AD187" s="445" t="e">
        <f t="shared" si="82"/>
        <v>#REF!</v>
      </c>
      <c r="AE187" s="445" t="e">
        <f t="shared" si="82"/>
        <v>#REF!</v>
      </c>
      <c r="AF187" s="445" t="e">
        <f t="shared" si="82"/>
        <v>#REF!</v>
      </c>
      <c r="AG187" s="445" t="e">
        <f t="shared" si="82"/>
        <v>#REF!</v>
      </c>
      <c r="AH187" s="445" t="e">
        <f t="shared" si="82"/>
        <v>#REF!</v>
      </c>
      <c r="AI187" s="445" t="e">
        <f t="shared" si="82"/>
        <v>#REF!</v>
      </c>
      <c r="AJ187" s="445" t="e">
        <f t="shared" si="82"/>
        <v>#REF!</v>
      </c>
      <c r="AK187" s="445" t="e">
        <f t="shared" si="82"/>
        <v>#REF!</v>
      </c>
      <c r="AL187" s="445" t="e">
        <f t="shared" si="82"/>
        <v>#REF!</v>
      </c>
      <c r="AM187" s="445" t="e">
        <f t="shared" si="82"/>
        <v>#REF!</v>
      </c>
      <c r="AN187" s="446" t="e">
        <f t="shared" si="82"/>
        <v>#REF!</v>
      </c>
    </row>
    <row r="188" spans="6:40" ht="12.75" outlineLevel="2">
      <c r="F188" s="447" t="s">
        <v>382</v>
      </c>
      <c r="G188" s="448">
        <f aca="true" t="shared" si="83" ref="G188:AN188">+IF(G10=0,"",G62-G57)</f>
        <v>-0.0756</v>
      </c>
      <c r="H188" s="449">
        <f t="shared" si="83"/>
        <v>-0.1061</v>
      </c>
      <c r="I188" s="449">
        <f t="shared" si="83"/>
        <v>-0.0797</v>
      </c>
      <c r="J188" s="450">
        <f t="shared" si="83"/>
        <v>-0.04935647165622349</v>
      </c>
      <c r="K188" s="451">
        <f t="shared" si="83"/>
        <v>-0.027383867357131914</v>
      </c>
      <c r="L188" s="452">
        <f t="shared" si="83"/>
        <v>0.02059324851193281</v>
      </c>
      <c r="M188" s="452">
        <f t="shared" si="83"/>
        <v>0.023629254305781236</v>
      </c>
      <c r="N188" s="452">
        <f t="shared" si="83"/>
        <v>0.041871904706485746</v>
      </c>
      <c r="O188" s="452">
        <f t="shared" si="83"/>
        <v>0.045025305713903216</v>
      </c>
      <c r="P188" s="452">
        <f t="shared" si="83"/>
        <v>0.05334969622671236</v>
      </c>
      <c r="Q188" s="452">
        <f t="shared" si="83"/>
        <v>0.06173273254523251</v>
      </c>
      <c r="R188" s="452">
        <f t="shared" si="83"/>
        <v>0.06422223309443459</v>
      </c>
      <c r="S188" s="452">
        <f t="shared" si="83"/>
        <v>0.09529768305053643</v>
      </c>
      <c r="T188" s="452">
        <f t="shared" si="83"/>
        <v>0.09617798820366122</v>
      </c>
      <c r="U188" s="452" t="e">
        <f t="shared" si="83"/>
        <v>#REF!</v>
      </c>
      <c r="V188" s="452" t="e">
        <f t="shared" si="83"/>
        <v>#REF!</v>
      </c>
      <c r="W188" s="452" t="e">
        <f t="shared" si="83"/>
        <v>#REF!</v>
      </c>
      <c r="X188" s="452" t="e">
        <f t="shared" si="83"/>
        <v>#REF!</v>
      </c>
      <c r="Y188" s="452" t="e">
        <f t="shared" si="83"/>
        <v>#REF!</v>
      </c>
      <c r="Z188" s="452" t="e">
        <f t="shared" si="83"/>
        <v>#REF!</v>
      </c>
      <c r="AA188" s="452" t="e">
        <f t="shared" si="83"/>
        <v>#REF!</v>
      </c>
      <c r="AB188" s="452" t="e">
        <f t="shared" si="83"/>
        <v>#REF!</v>
      </c>
      <c r="AC188" s="452" t="e">
        <f t="shared" si="83"/>
        <v>#REF!</v>
      </c>
      <c r="AD188" s="452" t="e">
        <f t="shared" si="83"/>
        <v>#REF!</v>
      </c>
      <c r="AE188" s="452" t="e">
        <f t="shared" si="83"/>
        <v>#REF!</v>
      </c>
      <c r="AF188" s="452" t="e">
        <f t="shared" si="83"/>
        <v>#REF!</v>
      </c>
      <c r="AG188" s="452" t="e">
        <f t="shared" si="83"/>
        <v>#REF!</v>
      </c>
      <c r="AH188" s="452" t="e">
        <f t="shared" si="83"/>
        <v>#REF!</v>
      </c>
      <c r="AI188" s="452" t="e">
        <f t="shared" si="83"/>
        <v>#REF!</v>
      </c>
      <c r="AJ188" s="452" t="e">
        <f t="shared" si="83"/>
        <v>#REF!</v>
      </c>
      <c r="AK188" s="452" t="e">
        <f t="shared" si="83"/>
        <v>#REF!</v>
      </c>
      <c r="AL188" s="452" t="e">
        <f t="shared" si="83"/>
        <v>#REF!</v>
      </c>
      <c r="AM188" s="452" t="e">
        <f t="shared" si="83"/>
        <v>#REF!</v>
      </c>
      <c r="AN188" s="453" t="e">
        <f t="shared" si="83"/>
        <v>#REF!</v>
      </c>
    </row>
    <row r="189" spans="6:40" ht="12.75" outlineLevel="1">
      <c r="F189" s="136" t="s">
        <v>313</v>
      </c>
      <c r="G189" s="433"/>
      <c r="H189" s="433"/>
      <c r="I189" s="433"/>
      <c r="J189" s="433"/>
      <c r="K189" s="437"/>
      <c r="L189" s="437"/>
      <c r="M189" s="437"/>
      <c r="N189" s="437"/>
      <c r="O189" s="437"/>
      <c r="P189" s="437"/>
      <c r="Q189" s="437"/>
      <c r="R189" s="437"/>
      <c r="S189" s="437"/>
      <c r="T189" s="437"/>
      <c r="U189" s="437"/>
      <c r="V189" s="437"/>
      <c r="W189" s="437"/>
      <c r="X189" s="437"/>
      <c r="Y189" s="437"/>
      <c r="Z189" s="437"/>
      <c r="AA189" s="437"/>
      <c r="AB189" s="437"/>
      <c r="AC189" s="437"/>
      <c r="AD189" s="437"/>
      <c r="AE189" s="437"/>
      <c r="AF189" s="437"/>
      <c r="AG189" s="437"/>
      <c r="AH189" s="437"/>
      <c r="AI189" s="437"/>
      <c r="AJ189" s="437"/>
      <c r="AK189" s="437"/>
      <c r="AL189" s="437"/>
      <c r="AM189" s="437"/>
      <c r="AN189" s="437"/>
    </row>
    <row r="190" spans="6:40" ht="12.75" outlineLevel="2">
      <c r="F190" s="454">
        <v>0.05</v>
      </c>
      <c r="G190" s="435" t="str">
        <f>+"zmiana większa niż +/- "&amp;TEXT(F190*100,"0,0")&amp;"%"</f>
        <v>zmiana większa niż +/- 5,0%</v>
      </c>
      <c r="H190" s="157"/>
      <c r="I190" s="157"/>
      <c r="J190" s="157"/>
      <c r="K190" s="430"/>
      <c r="L190" s="437"/>
      <c r="M190" s="437"/>
      <c r="N190" s="437"/>
      <c r="O190" s="437"/>
      <c r="P190" s="437"/>
      <c r="Q190" s="437"/>
      <c r="R190" s="437"/>
      <c r="S190" s="437"/>
      <c r="T190" s="437"/>
      <c r="U190" s="437"/>
      <c r="V190" s="437"/>
      <c r="W190" s="437"/>
      <c r="X190" s="437"/>
      <c r="Y190" s="437"/>
      <c r="Z190" s="437"/>
      <c r="AA190" s="437"/>
      <c r="AB190" s="437"/>
      <c r="AC190" s="437"/>
      <c r="AD190" s="437"/>
      <c r="AE190" s="437"/>
      <c r="AF190" s="437"/>
      <c r="AG190" s="437"/>
      <c r="AH190" s="437"/>
      <c r="AI190" s="437"/>
      <c r="AJ190" s="437"/>
      <c r="AK190" s="437"/>
      <c r="AL190" s="437"/>
      <c r="AM190" s="437"/>
      <c r="AN190" s="437"/>
    </row>
    <row r="191" spans="6:40" ht="12.75" outlineLevel="2">
      <c r="F191" s="455">
        <v>0.1</v>
      </c>
      <c r="G191" s="435" t="str">
        <f>+"zmiana większa niż +/- "&amp;TEXT(F191*100,"0,0")&amp;"%"</f>
        <v>zmiana większa niż +/- 10,0%</v>
      </c>
      <c r="H191" s="157"/>
      <c r="I191" s="157"/>
      <c r="J191" s="157"/>
      <c r="K191" s="430"/>
      <c r="L191" s="437"/>
      <c r="M191" s="437"/>
      <c r="N191" s="437"/>
      <c r="O191" s="437"/>
      <c r="P191" s="437"/>
      <c r="Q191" s="437"/>
      <c r="R191" s="437"/>
      <c r="S191" s="437"/>
      <c r="T191" s="437"/>
      <c r="U191" s="437"/>
      <c r="V191" s="437"/>
      <c r="W191" s="437"/>
      <c r="X191" s="437"/>
      <c r="Y191" s="437"/>
      <c r="Z191" s="437"/>
      <c r="AA191" s="437"/>
      <c r="AB191" s="437"/>
      <c r="AC191" s="437"/>
      <c r="AD191" s="437"/>
      <c r="AE191" s="437"/>
      <c r="AF191" s="437"/>
      <c r="AG191" s="437"/>
      <c r="AH191" s="437"/>
      <c r="AI191" s="437"/>
      <c r="AJ191" s="437"/>
      <c r="AK191" s="437"/>
      <c r="AL191" s="437"/>
      <c r="AM191" s="437"/>
      <c r="AN191" s="437"/>
    </row>
    <row r="192" spans="6:40" ht="12.75" outlineLevel="2">
      <c r="F192" s="456">
        <v>0.2</v>
      </c>
      <c r="G192" s="435" t="str">
        <f>+"zmiana większa niż +/- "&amp;TEXT(F192*100,"0,0")&amp;"%"</f>
        <v>zmiana większa niż +/- 20,0%</v>
      </c>
      <c r="H192" s="157"/>
      <c r="I192" s="157"/>
      <c r="J192" s="157"/>
      <c r="K192" s="430"/>
      <c r="L192" s="437"/>
      <c r="M192" s="437"/>
      <c r="N192" s="437"/>
      <c r="O192" s="437"/>
      <c r="P192" s="437"/>
      <c r="Q192" s="437"/>
      <c r="R192" s="437"/>
      <c r="S192" s="437"/>
      <c r="T192" s="437"/>
      <c r="U192" s="437"/>
      <c r="V192" s="437"/>
      <c r="W192" s="437"/>
      <c r="X192" s="437"/>
      <c r="Y192" s="437"/>
      <c r="Z192" s="437"/>
      <c r="AA192" s="437"/>
      <c r="AB192" s="437"/>
      <c r="AC192" s="437"/>
      <c r="AD192" s="437"/>
      <c r="AE192" s="437"/>
      <c r="AF192" s="437"/>
      <c r="AG192" s="437"/>
      <c r="AH192" s="437"/>
      <c r="AI192" s="437"/>
      <c r="AJ192" s="437"/>
      <c r="AK192" s="437"/>
      <c r="AL192" s="437"/>
      <c r="AM192" s="437"/>
      <c r="AN192" s="437"/>
    </row>
    <row r="193" spans="1:40" s="431" customFormat="1" ht="12.75" outlineLevel="2">
      <c r="A193" s="457"/>
      <c r="B193" s="457"/>
      <c r="C193" s="457"/>
      <c r="D193" s="457"/>
      <c r="E193" s="457"/>
      <c r="F193" s="458" t="s">
        <v>9</v>
      </c>
      <c r="G193" s="459" t="s">
        <v>314</v>
      </c>
      <c r="H193" s="460">
        <f aca="true" t="shared" si="84" ref="H193:AN193">+IF(H10=0,0,IF(G219&lt;&gt;0,H219/G219-1,0))</f>
        <v>-0.013385273610928339</v>
      </c>
      <c r="I193" s="460">
        <f t="shared" si="84"/>
        <v>0.1468181649525513</v>
      </c>
      <c r="J193" s="461">
        <f t="shared" si="84"/>
        <v>-0.033283619702882516</v>
      </c>
      <c r="K193" s="462">
        <f t="shared" si="84"/>
        <v>-0.07244725601346524</v>
      </c>
      <c r="L193" s="463">
        <f t="shared" si="84"/>
        <v>-0.03821930515872418</v>
      </c>
      <c r="M193" s="463">
        <f t="shared" si="84"/>
        <v>0.009029357468615995</v>
      </c>
      <c r="N193" s="463">
        <f t="shared" si="84"/>
        <v>0.016129032258064502</v>
      </c>
      <c r="O193" s="463">
        <f t="shared" si="84"/>
        <v>0.015873015873015817</v>
      </c>
      <c r="P193" s="463">
        <f t="shared" si="84"/>
        <v>0.015625</v>
      </c>
      <c r="Q193" s="463">
        <f t="shared" si="84"/>
        <v>0.01538461538461533</v>
      </c>
      <c r="R193" s="463">
        <f t="shared" si="84"/>
        <v>0.015151515151515138</v>
      </c>
      <c r="S193" s="463">
        <f t="shared" si="84"/>
        <v>0.014925373134328401</v>
      </c>
      <c r="T193" s="463">
        <f t="shared" si="84"/>
        <v>0.014705882352941124</v>
      </c>
      <c r="U193" s="463" t="e">
        <f t="shared" si="84"/>
        <v>#REF!</v>
      </c>
      <c r="V193" s="463" t="e">
        <f t="shared" si="84"/>
        <v>#REF!</v>
      </c>
      <c r="W193" s="463" t="e">
        <f t="shared" si="84"/>
        <v>#REF!</v>
      </c>
      <c r="X193" s="463" t="e">
        <f t="shared" si="84"/>
        <v>#REF!</v>
      </c>
      <c r="Y193" s="463" t="e">
        <f t="shared" si="84"/>
        <v>#REF!</v>
      </c>
      <c r="Z193" s="463" t="e">
        <f t="shared" si="84"/>
        <v>#REF!</v>
      </c>
      <c r="AA193" s="463" t="e">
        <f t="shared" si="84"/>
        <v>#REF!</v>
      </c>
      <c r="AB193" s="463" t="e">
        <f t="shared" si="84"/>
        <v>#REF!</v>
      </c>
      <c r="AC193" s="463" t="e">
        <f t="shared" si="84"/>
        <v>#REF!</v>
      </c>
      <c r="AD193" s="463" t="e">
        <f t="shared" si="84"/>
        <v>#REF!</v>
      </c>
      <c r="AE193" s="463" t="e">
        <f t="shared" si="84"/>
        <v>#REF!</v>
      </c>
      <c r="AF193" s="463" t="e">
        <f t="shared" si="84"/>
        <v>#REF!</v>
      </c>
      <c r="AG193" s="463" t="e">
        <f t="shared" si="84"/>
        <v>#REF!</v>
      </c>
      <c r="AH193" s="463" t="e">
        <f t="shared" si="84"/>
        <v>#REF!</v>
      </c>
      <c r="AI193" s="463" t="e">
        <f t="shared" si="84"/>
        <v>#REF!</v>
      </c>
      <c r="AJ193" s="463" t="e">
        <f t="shared" si="84"/>
        <v>#REF!</v>
      </c>
      <c r="AK193" s="463" t="e">
        <f t="shared" si="84"/>
        <v>#REF!</v>
      </c>
      <c r="AL193" s="463" t="e">
        <f t="shared" si="84"/>
        <v>#REF!</v>
      </c>
      <c r="AM193" s="463" t="e">
        <f t="shared" si="84"/>
        <v>#REF!</v>
      </c>
      <c r="AN193" s="464" t="e">
        <f t="shared" si="84"/>
        <v>#REF!</v>
      </c>
    </row>
    <row r="194" spans="6:40" ht="15" customHeight="1" outlineLevel="2">
      <c r="F194" s="465" t="s">
        <v>315</v>
      </c>
      <c r="G194" s="466" t="s">
        <v>314</v>
      </c>
      <c r="H194" s="467">
        <f aca="true" t="shared" si="85" ref="H194:AN194">+IF(H10=0,0,IF(G220&lt;&gt;0,H220/G220-1,0))</f>
        <v>-0.013385273610928339</v>
      </c>
      <c r="I194" s="467">
        <f t="shared" si="85"/>
        <v>0.1468181649525513</v>
      </c>
      <c r="J194" s="468">
        <f t="shared" si="85"/>
        <v>-0.05942855722920304</v>
      </c>
      <c r="K194" s="469">
        <f t="shared" si="85"/>
        <v>-0.1073389328412776</v>
      </c>
      <c r="L194" s="470">
        <f t="shared" si="85"/>
        <v>0.019711489484364852</v>
      </c>
      <c r="M194" s="470">
        <f t="shared" si="85"/>
        <v>0.016393442622950838</v>
      </c>
      <c r="N194" s="470">
        <f t="shared" si="85"/>
        <v>0.016129032258064502</v>
      </c>
      <c r="O194" s="470">
        <f t="shared" si="85"/>
        <v>0.015873015873015817</v>
      </c>
      <c r="P194" s="470">
        <f t="shared" si="85"/>
        <v>0.015625</v>
      </c>
      <c r="Q194" s="470">
        <f t="shared" si="85"/>
        <v>0.01538461538461533</v>
      </c>
      <c r="R194" s="470">
        <f t="shared" si="85"/>
        <v>0.015151515151515138</v>
      </c>
      <c r="S194" s="470">
        <f t="shared" si="85"/>
        <v>0.014925373134328401</v>
      </c>
      <c r="T194" s="470">
        <f t="shared" si="85"/>
        <v>0.014705882352941124</v>
      </c>
      <c r="U194" s="470" t="e">
        <f t="shared" si="85"/>
        <v>#REF!</v>
      </c>
      <c r="V194" s="470" t="e">
        <f t="shared" si="85"/>
        <v>#REF!</v>
      </c>
      <c r="W194" s="470" t="e">
        <f t="shared" si="85"/>
        <v>#REF!</v>
      </c>
      <c r="X194" s="470" t="e">
        <f t="shared" si="85"/>
        <v>#REF!</v>
      </c>
      <c r="Y194" s="470" t="e">
        <f t="shared" si="85"/>
        <v>#REF!</v>
      </c>
      <c r="Z194" s="470" t="e">
        <f t="shared" si="85"/>
        <v>#REF!</v>
      </c>
      <c r="AA194" s="470" t="e">
        <f t="shared" si="85"/>
        <v>#REF!</v>
      </c>
      <c r="AB194" s="470" t="e">
        <f t="shared" si="85"/>
        <v>#REF!</v>
      </c>
      <c r="AC194" s="470" t="e">
        <f t="shared" si="85"/>
        <v>#REF!</v>
      </c>
      <c r="AD194" s="470" t="e">
        <f t="shared" si="85"/>
        <v>#REF!</v>
      </c>
      <c r="AE194" s="470" t="e">
        <f t="shared" si="85"/>
        <v>#REF!</v>
      </c>
      <c r="AF194" s="470" t="e">
        <f t="shared" si="85"/>
        <v>#REF!</v>
      </c>
      <c r="AG194" s="470" t="e">
        <f t="shared" si="85"/>
        <v>#REF!</v>
      </c>
      <c r="AH194" s="470" t="e">
        <f t="shared" si="85"/>
        <v>#REF!</v>
      </c>
      <c r="AI194" s="470" t="e">
        <f t="shared" si="85"/>
        <v>#REF!</v>
      </c>
      <c r="AJ194" s="470" t="e">
        <f t="shared" si="85"/>
        <v>#REF!</v>
      </c>
      <c r="AK194" s="470" t="e">
        <f t="shared" si="85"/>
        <v>#REF!</v>
      </c>
      <c r="AL194" s="470" t="e">
        <f t="shared" si="85"/>
        <v>#REF!</v>
      </c>
      <c r="AM194" s="470" t="e">
        <f t="shared" si="85"/>
        <v>#REF!</v>
      </c>
      <c r="AN194" s="471" t="e">
        <f t="shared" si="85"/>
        <v>#REF!</v>
      </c>
    </row>
    <row r="195" spans="6:40" ht="15" customHeight="1" outlineLevel="2">
      <c r="F195" s="472" t="s">
        <v>316</v>
      </c>
      <c r="G195" s="473" t="s">
        <v>314</v>
      </c>
      <c r="H195" s="474">
        <f aca="true" t="shared" si="86" ref="H195:AN195">+IF(H10=0,0,IF(G221&lt;&gt;0,H221/G221-1,0))</f>
        <v>0.09727063444840733</v>
      </c>
      <c r="I195" s="474">
        <f t="shared" si="86"/>
        <v>0.05290747826185238</v>
      </c>
      <c r="J195" s="475">
        <f t="shared" si="86"/>
        <v>-0.04777515524949949</v>
      </c>
      <c r="K195" s="469">
        <f t="shared" si="86"/>
        <v>0.0364707887360749</v>
      </c>
      <c r="L195" s="470">
        <f t="shared" si="86"/>
        <v>0.03300813046322326</v>
      </c>
      <c r="M195" s="470">
        <f t="shared" si="86"/>
        <v>0.016393442622950838</v>
      </c>
      <c r="N195" s="470">
        <f t="shared" si="86"/>
        <v>0.016129032258064502</v>
      </c>
      <c r="O195" s="470">
        <f t="shared" si="86"/>
        <v>0.015873015873015817</v>
      </c>
      <c r="P195" s="470">
        <f t="shared" si="86"/>
        <v>0.015625</v>
      </c>
      <c r="Q195" s="470">
        <f t="shared" si="86"/>
        <v>0.01538461538461533</v>
      </c>
      <c r="R195" s="470">
        <f t="shared" si="86"/>
        <v>0.015151515151515138</v>
      </c>
      <c r="S195" s="470">
        <f t="shared" si="86"/>
        <v>0.014925373134328401</v>
      </c>
      <c r="T195" s="470">
        <f t="shared" si="86"/>
        <v>0.014705882352941124</v>
      </c>
      <c r="U195" s="470" t="e">
        <f t="shared" si="86"/>
        <v>#REF!</v>
      </c>
      <c r="V195" s="470" t="e">
        <f t="shared" si="86"/>
        <v>#REF!</v>
      </c>
      <c r="W195" s="470" t="e">
        <f t="shared" si="86"/>
        <v>#REF!</v>
      </c>
      <c r="X195" s="470" t="e">
        <f t="shared" si="86"/>
        <v>#REF!</v>
      </c>
      <c r="Y195" s="470" t="e">
        <f t="shared" si="86"/>
        <v>#REF!</v>
      </c>
      <c r="Z195" s="470" t="e">
        <f t="shared" si="86"/>
        <v>#REF!</v>
      </c>
      <c r="AA195" s="470" t="e">
        <f t="shared" si="86"/>
        <v>#REF!</v>
      </c>
      <c r="AB195" s="470" t="e">
        <f t="shared" si="86"/>
        <v>#REF!</v>
      </c>
      <c r="AC195" s="470" t="e">
        <f t="shared" si="86"/>
        <v>#REF!</v>
      </c>
      <c r="AD195" s="470" t="e">
        <f t="shared" si="86"/>
        <v>#REF!</v>
      </c>
      <c r="AE195" s="470" t="e">
        <f t="shared" si="86"/>
        <v>#REF!</v>
      </c>
      <c r="AF195" s="470" t="e">
        <f t="shared" si="86"/>
        <v>#REF!</v>
      </c>
      <c r="AG195" s="470" t="e">
        <f t="shared" si="86"/>
        <v>#REF!</v>
      </c>
      <c r="AH195" s="470" t="e">
        <f t="shared" si="86"/>
        <v>#REF!</v>
      </c>
      <c r="AI195" s="470" t="e">
        <f t="shared" si="86"/>
        <v>#REF!</v>
      </c>
      <c r="AJ195" s="470" t="e">
        <f t="shared" si="86"/>
        <v>#REF!</v>
      </c>
      <c r="AK195" s="470" t="e">
        <f t="shared" si="86"/>
        <v>#REF!</v>
      </c>
      <c r="AL195" s="470" t="e">
        <f t="shared" si="86"/>
        <v>#REF!</v>
      </c>
      <c r="AM195" s="470" t="e">
        <f t="shared" si="86"/>
        <v>#REF!</v>
      </c>
      <c r="AN195" s="471" t="e">
        <f t="shared" si="86"/>
        <v>#REF!</v>
      </c>
    </row>
    <row r="196" spans="6:40" ht="14.25" customHeight="1" outlineLevel="2">
      <c r="F196" s="472" t="s">
        <v>317</v>
      </c>
      <c r="G196" s="473" t="s">
        <v>314</v>
      </c>
      <c r="H196" s="474">
        <f aca="true" t="shared" si="87" ref="H196:AN196">+IF(H10=0,0,IF(G222&lt;&gt;0,H222/G222-1,0))</f>
        <v>-0.5258614651877271</v>
      </c>
      <c r="I196" s="474">
        <f t="shared" si="87"/>
        <v>1.1533386239627186</v>
      </c>
      <c r="J196" s="475">
        <f t="shared" si="87"/>
        <v>-0.12050000256814741</v>
      </c>
      <c r="K196" s="469">
        <f t="shared" si="87"/>
        <v>-0.9233149273423576</v>
      </c>
      <c r="L196" s="470">
        <f t="shared" si="87"/>
        <v>-1</v>
      </c>
      <c r="M196" s="470">
        <f t="shared" si="87"/>
        <v>0</v>
      </c>
      <c r="N196" s="470">
        <f t="shared" si="87"/>
        <v>0</v>
      </c>
      <c r="O196" s="470">
        <f t="shared" si="87"/>
        <v>0</v>
      </c>
      <c r="P196" s="470">
        <f t="shared" si="87"/>
        <v>0</v>
      </c>
      <c r="Q196" s="470">
        <f t="shared" si="87"/>
        <v>0</v>
      </c>
      <c r="R196" s="470">
        <f t="shared" si="87"/>
        <v>0</v>
      </c>
      <c r="S196" s="470">
        <f t="shared" si="87"/>
        <v>0</v>
      </c>
      <c r="T196" s="470">
        <f t="shared" si="87"/>
        <v>0</v>
      </c>
      <c r="U196" s="470" t="e">
        <f t="shared" si="87"/>
        <v>#REF!</v>
      </c>
      <c r="V196" s="470" t="e">
        <f t="shared" si="87"/>
        <v>#REF!</v>
      </c>
      <c r="W196" s="470" t="e">
        <f t="shared" si="87"/>
        <v>#REF!</v>
      </c>
      <c r="X196" s="470" t="e">
        <f t="shared" si="87"/>
        <v>#REF!</v>
      </c>
      <c r="Y196" s="470" t="e">
        <f t="shared" si="87"/>
        <v>#REF!</v>
      </c>
      <c r="Z196" s="470" t="e">
        <f t="shared" si="87"/>
        <v>#REF!</v>
      </c>
      <c r="AA196" s="470" t="e">
        <f t="shared" si="87"/>
        <v>#REF!</v>
      </c>
      <c r="AB196" s="470" t="e">
        <f t="shared" si="87"/>
        <v>#REF!</v>
      </c>
      <c r="AC196" s="470" t="e">
        <f t="shared" si="87"/>
        <v>#REF!</v>
      </c>
      <c r="AD196" s="470" t="e">
        <f t="shared" si="87"/>
        <v>#REF!</v>
      </c>
      <c r="AE196" s="470" t="e">
        <f t="shared" si="87"/>
        <v>#REF!</v>
      </c>
      <c r="AF196" s="470" t="e">
        <f t="shared" si="87"/>
        <v>#REF!</v>
      </c>
      <c r="AG196" s="470" t="e">
        <f t="shared" si="87"/>
        <v>#REF!</v>
      </c>
      <c r="AH196" s="470" t="e">
        <f t="shared" si="87"/>
        <v>#REF!</v>
      </c>
      <c r="AI196" s="470" t="e">
        <f t="shared" si="87"/>
        <v>#REF!</v>
      </c>
      <c r="AJ196" s="470" t="e">
        <f t="shared" si="87"/>
        <v>#REF!</v>
      </c>
      <c r="AK196" s="470" t="e">
        <f t="shared" si="87"/>
        <v>#REF!</v>
      </c>
      <c r="AL196" s="470" t="e">
        <f t="shared" si="87"/>
        <v>#REF!</v>
      </c>
      <c r="AM196" s="470" t="e">
        <f t="shared" si="87"/>
        <v>#REF!</v>
      </c>
      <c r="AN196" s="471" t="e">
        <f t="shared" si="87"/>
        <v>#REF!</v>
      </c>
    </row>
    <row r="197" spans="6:40" ht="24" customHeight="1" outlineLevel="2">
      <c r="F197" s="472" t="s">
        <v>318</v>
      </c>
      <c r="G197" s="473" t="s">
        <v>314</v>
      </c>
      <c r="H197" s="474">
        <f aca="true" t="shared" si="88" ref="H197:AN197">+IF(H10=0,0,IF(G223&lt;&gt;0,H223/G223-1,0))</f>
        <v>-0.38293911945032866</v>
      </c>
      <c r="I197" s="474">
        <f t="shared" si="88"/>
        <v>1.1365760684894708</v>
      </c>
      <c r="J197" s="475">
        <f t="shared" si="88"/>
        <v>-0.1333269011906416</v>
      </c>
      <c r="K197" s="469">
        <f t="shared" si="88"/>
        <v>-0.9465091620989623</v>
      </c>
      <c r="L197" s="470">
        <f t="shared" si="88"/>
        <v>-1</v>
      </c>
      <c r="M197" s="470">
        <f t="shared" si="88"/>
        <v>0</v>
      </c>
      <c r="N197" s="470">
        <f t="shared" si="88"/>
        <v>0</v>
      </c>
      <c r="O197" s="470">
        <f t="shared" si="88"/>
        <v>0</v>
      </c>
      <c r="P197" s="470">
        <f t="shared" si="88"/>
        <v>0</v>
      </c>
      <c r="Q197" s="470">
        <f t="shared" si="88"/>
        <v>0</v>
      </c>
      <c r="R197" s="470">
        <f t="shared" si="88"/>
        <v>0</v>
      </c>
      <c r="S197" s="470">
        <f t="shared" si="88"/>
        <v>0</v>
      </c>
      <c r="T197" s="470">
        <f t="shared" si="88"/>
        <v>0</v>
      </c>
      <c r="U197" s="470" t="e">
        <f t="shared" si="88"/>
        <v>#REF!</v>
      </c>
      <c r="V197" s="470" t="e">
        <f t="shared" si="88"/>
        <v>#REF!</v>
      </c>
      <c r="W197" s="470" t="e">
        <f t="shared" si="88"/>
        <v>#REF!</v>
      </c>
      <c r="X197" s="470" t="e">
        <f t="shared" si="88"/>
        <v>#REF!</v>
      </c>
      <c r="Y197" s="470" t="e">
        <f t="shared" si="88"/>
        <v>#REF!</v>
      </c>
      <c r="Z197" s="470" t="e">
        <f t="shared" si="88"/>
        <v>#REF!</v>
      </c>
      <c r="AA197" s="470" t="e">
        <f t="shared" si="88"/>
        <v>#REF!</v>
      </c>
      <c r="AB197" s="470" t="e">
        <f t="shared" si="88"/>
        <v>#REF!</v>
      </c>
      <c r="AC197" s="470" t="e">
        <f t="shared" si="88"/>
        <v>#REF!</v>
      </c>
      <c r="AD197" s="470" t="e">
        <f t="shared" si="88"/>
        <v>#REF!</v>
      </c>
      <c r="AE197" s="470" t="e">
        <f t="shared" si="88"/>
        <v>#REF!</v>
      </c>
      <c r="AF197" s="470" t="e">
        <f t="shared" si="88"/>
        <v>#REF!</v>
      </c>
      <c r="AG197" s="470" t="e">
        <f t="shared" si="88"/>
        <v>#REF!</v>
      </c>
      <c r="AH197" s="470" t="e">
        <f t="shared" si="88"/>
        <v>#REF!</v>
      </c>
      <c r="AI197" s="470" t="e">
        <f t="shared" si="88"/>
        <v>#REF!</v>
      </c>
      <c r="AJ197" s="470" t="e">
        <f t="shared" si="88"/>
        <v>#REF!</v>
      </c>
      <c r="AK197" s="470" t="e">
        <f t="shared" si="88"/>
        <v>#REF!</v>
      </c>
      <c r="AL197" s="470" t="e">
        <f t="shared" si="88"/>
        <v>#REF!</v>
      </c>
      <c r="AM197" s="470" t="e">
        <f t="shared" si="88"/>
        <v>#REF!</v>
      </c>
      <c r="AN197" s="471" t="e">
        <f t="shared" si="88"/>
        <v>#REF!</v>
      </c>
    </row>
    <row r="198" spans="6:40" ht="15" customHeight="1" outlineLevel="2">
      <c r="F198" s="476" t="s">
        <v>319</v>
      </c>
      <c r="G198" s="477" t="s">
        <v>314</v>
      </c>
      <c r="H198" s="478">
        <f aca="true" t="shared" si="89" ref="H198:AN198">+IF(H10=0,0,IF(G224&lt;&gt;0,H224/G224-1,0))</f>
        <v>-0.980551221578307</v>
      </c>
      <c r="I198" s="478">
        <f t="shared" si="89"/>
        <v>2.845301963872619</v>
      </c>
      <c r="J198" s="479">
        <f t="shared" si="89"/>
        <v>0.5988832000000002</v>
      </c>
      <c r="K198" s="480">
        <f t="shared" si="89"/>
        <v>-0.21820430660601098</v>
      </c>
      <c r="L198" s="481">
        <f t="shared" si="89"/>
        <v>-1</v>
      </c>
      <c r="M198" s="481">
        <f t="shared" si="89"/>
        <v>0</v>
      </c>
      <c r="N198" s="481">
        <f t="shared" si="89"/>
        <v>0</v>
      </c>
      <c r="O198" s="481">
        <f t="shared" si="89"/>
        <v>0</v>
      </c>
      <c r="P198" s="481">
        <f t="shared" si="89"/>
        <v>0</v>
      </c>
      <c r="Q198" s="481">
        <f t="shared" si="89"/>
        <v>0</v>
      </c>
      <c r="R198" s="481">
        <f t="shared" si="89"/>
        <v>0</v>
      </c>
      <c r="S198" s="481">
        <f t="shared" si="89"/>
        <v>0</v>
      </c>
      <c r="T198" s="481">
        <f t="shared" si="89"/>
        <v>0</v>
      </c>
      <c r="U198" s="481" t="e">
        <f t="shared" si="89"/>
        <v>#REF!</v>
      </c>
      <c r="V198" s="481" t="e">
        <f t="shared" si="89"/>
        <v>#REF!</v>
      </c>
      <c r="W198" s="481" t="e">
        <f t="shared" si="89"/>
        <v>#REF!</v>
      </c>
      <c r="X198" s="481" t="e">
        <f t="shared" si="89"/>
        <v>#REF!</v>
      </c>
      <c r="Y198" s="481" t="e">
        <f t="shared" si="89"/>
        <v>#REF!</v>
      </c>
      <c r="Z198" s="481" t="e">
        <f t="shared" si="89"/>
        <v>#REF!</v>
      </c>
      <c r="AA198" s="481" t="e">
        <f t="shared" si="89"/>
        <v>#REF!</v>
      </c>
      <c r="AB198" s="481" t="e">
        <f t="shared" si="89"/>
        <v>#REF!</v>
      </c>
      <c r="AC198" s="481" t="e">
        <f t="shared" si="89"/>
        <v>#REF!</v>
      </c>
      <c r="AD198" s="481" t="e">
        <f t="shared" si="89"/>
        <v>#REF!</v>
      </c>
      <c r="AE198" s="481" t="e">
        <f t="shared" si="89"/>
        <v>#REF!</v>
      </c>
      <c r="AF198" s="481" t="e">
        <f t="shared" si="89"/>
        <v>#REF!</v>
      </c>
      <c r="AG198" s="481" t="e">
        <f t="shared" si="89"/>
        <v>#REF!</v>
      </c>
      <c r="AH198" s="481" t="e">
        <f t="shared" si="89"/>
        <v>#REF!</v>
      </c>
      <c r="AI198" s="481" t="e">
        <f t="shared" si="89"/>
        <v>#REF!</v>
      </c>
      <c r="AJ198" s="481" t="e">
        <f t="shared" si="89"/>
        <v>#REF!</v>
      </c>
      <c r="AK198" s="481" t="e">
        <f t="shared" si="89"/>
        <v>#REF!</v>
      </c>
      <c r="AL198" s="481" t="e">
        <f t="shared" si="89"/>
        <v>#REF!</v>
      </c>
      <c r="AM198" s="481" t="e">
        <f t="shared" si="89"/>
        <v>#REF!</v>
      </c>
      <c r="AN198" s="482" t="e">
        <f t="shared" si="89"/>
        <v>#REF!</v>
      </c>
    </row>
    <row r="199" spans="1:40" s="431" customFormat="1" ht="12.75" outlineLevel="2">
      <c r="A199" s="457"/>
      <c r="B199" s="457"/>
      <c r="C199" s="457"/>
      <c r="D199" s="457"/>
      <c r="E199" s="457"/>
      <c r="F199" s="458" t="s">
        <v>30</v>
      </c>
      <c r="G199" s="459" t="s">
        <v>314</v>
      </c>
      <c r="H199" s="460">
        <f aca="true" t="shared" si="90" ref="H199:AN199">+IF(H10=0,0,IF(G225&lt;&gt;0,H225/G225-1,0))</f>
        <v>-0.10321295389671414</v>
      </c>
      <c r="I199" s="460">
        <f t="shared" si="90"/>
        <v>0.3047457803007063</v>
      </c>
      <c r="J199" s="461">
        <f t="shared" si="90"/>
        <v>-0.1015179054420795</v>
      </c>
      <c r="K199" s="462">
        <f t="shared" si="90"/>
        <v>-0.050399411565316354</v>
      </c>
      <c r="L199" s="463">
        <f t="shared" si="90"/>
        <v>-0.14842661999843265</v>
      </c>
      <c r="M199" s="463">
        <f t="shared" si="90"/>
        <v>-0.009264808650861434</v>
      </c>
      <c r="N199" s="463">
        <f t="shared" si="90"/>
        <v>0.012006861063464935</v>
      </c>
      <c r="O199" s="463">
        <f t="shared" si="90"/>
        <v>0.01016949152542379</v>
      </c>
      <c r="P199" s="463">
        <f t="shared" si="90"/>
        <v>0.020134228187919545</v>
      </c>
      <c r="Q199" s="463">
        <f t="shared" si="90"/>
        <v>0.019736842105263053</v>
      </c>
      <c r="R199" s="463">
        <f t="shared" si="90"/>
        <v>0.016129032258064502</v>
      </c>
      <c r="S199" s="463">
        <f t="shared" si="90"/>
        <v>0.04761904761904767</v>
      </c>
      <c r="T199" s="463">
        <f t="shared" si="90"/>
        <v>0.013534298181818283</v>
      </c>
      <c r="U199" s="463" t="e">
        <f t="shared" si="90"/>
        <v>#REF!</v>
      </c>
      <c r="V199" s="463" t="e">
        <f t="shared" si="90"/>
        <v>#REF!</v>
      </c>
      <c r="W199" s="463" t="e">
        <f t="shared" si="90"/>
        <v>#REF!</v>
      </c>
      <c r="X199" s="463" t="e">
        <f t="shared" si="90"/>
        <v>#REF!</v>
      </c>
      <c r="Y199" s="463" t="e">
        <f t="shared" si="90"/>
        <v>#REF!</v>
      </c>
      <c r="Z199" s="463" t="e">
        <f t="shared" si="90"/>
        <v>#REF!</v>
      </c>
      <c r="AA199" s="463" t="e">
        <f t="shared" si="90"/>
        <v>#REF!</v>
      </c>
      <c r="AB199" s="463" t="e">
        <f t="shared" si="90"/>
        <v>#REF!</v>
      </c>
      <c r="AC199" s="463" t="e">
        <f t="shared" si="90"/>
        <v>#REF!</v>
      </c>
      <c r="AD199" s="463" t="e">
        <f t="shared" si="90"/>
        <v>#REF!</v>
      </c>
      <c r="AE199" s="463" t="e">
        <f t="shared" si="90"/>
        <v>#REF!</v>
      </c>
      <c r="AF199" s="463" t="e">
        <f t="shared" si="90"/>
        <v>#REF!</v>
      </c>
      <c r="AG199" s="463" t="e">
        <f t="shared" si="90"/>
        <v>#REF!</v>
      </c>
      <c r="AH199" s="463" t="e">
        <f t="shared" si="90"/>
        <v>#REF!</v>
      </c>
      <c r="AI199" s="463" t="e">
        <f t="shared" si="90"/>
        <v>#REF!</v>
      </c>
      <c r="AJ199" s="463" t="e">
        <f t="shared" si="90"/>
        <v>#REF!</v>
      </c>
      <c r="AK199" s="463" t="e">
        <f t="shared" si="90"/>
        <v>#REF!</v>
      </c>
      <c r="AL199" s="463" t="e">
        <f t="shared" si="90"/>
        <v>#REF!</v>
      </c>
      <c r="AM199" s="463" t="e">
        <f t="shared" si="90"/>
        <v>#REF!</v>
      </c>
      <c r="AN199" s="464" t="e">
        <f t="shared" si="90"/>
        <v>#REF!</v>
      </c>
    </row>
    <row r="200" spans="6:40" ht="12.75" outlineLevel="2">
      <c r="F200" s="483" t="s">
        <v>320</v>
      </c>
      <c r="G200" s="484" t="s">
        <v>314</v>
      </c>
      <c r="H200" s="485">
        <f aca="true" t="shared" si="91" ref="H200:AN200">+IF(H10=0,0,IF(G226&lt;&gt;0,H226/G226-1,0))</f>
        <v>-0.10321295389671414</v>
      </c>
      <c r="I200" s="485">
        <f t="shared" si="91"/>
        <v>0.3047457803007063</v>
      </c>
      <c r="J200" s="486">
        <f t="shared" si="91"/>
        <v>-0.1015179054420795</v>
      </c>
      <c r="K200" s="469">
        <f t="shared" si="91"/>
        <v>-0.11849584045431139</v>
      </c>
      <c r="L200" s="470">
        <f t="shared" si="91"/>
        <v>-0.09081537953326468</v>
      </c>
      <c r="M200" s="470">
        <f t="shared" si="91"/>
        <v>-0.00035868982031905805</v>
      </c>
      <c r="N200" s="470">
        <f t="shared" si="91"/>
        <v>0.012006861063464935</v>
      </c>
      <c r="O200" s="470">
        <f t="shared" si="91"/>
        <v>0.01016949152542379</v>
      </c>
      <c r="P200" s="470">
        <f t="shared" si="91"/>
        <v>0.020134228187919545</v>
      </c>
      <c r="Q200" s="470">
        <f t="shared" si="91"/>
        <v>0.019736842105263053</v>
      </c>
      <c r="R200" s="470">
        <f t="shared" si="91"/>
        <v>0.016129032258064502</v>
      </c>
      <c r="S200" s="470">
        <f t="shared" si="91"/>
        <v>0.04761904761904767</v>
      </c>
      <c r="T200" s="470">
        <f t="shared" si="91"/>
        <v>0.013534298181818283</v>
      </c>
      <c r="U200" s="470" t="e">
        <f t="shared" si="91"/>
        <v>#REF!</v>
      </c>
      <c r="V200" s="470" t="e">
        <f t="shared" si="91"/>
        <v>#REF!</v>
      </c>
      <c r="W200" s="470" t="e">
        <f t="shared" si="91"/>
        <v>#REF!</v>
      </c>
      <c r="X200" s="470" t="e">
        <f t="shared" si="91"/>
        <v>#REF!</v>
      </c>
      <c r="Y200" s="470" t="e">
        <f t="shared" si="91"/>
        <v>#REF!</v>
      </c>
      <c r="Z200" s="470" t="e">
        <f t="shared" si="91"/>
        <v>#REF!</v>
      </c>
      <c r="AA200" s="470" t="e">
        <f t="shared" si="91"/>
        <v>#REF!</v>
      </c>
      <c r="AB200" s="470" t="e">
        <f t="shared" si="91"/>
        <v>#REF!</v>
      </c>
      <c r="AC200" s="470" t="e">
        <f t="shared" si="91"/>
        <v>#REF!</v>
      </c>
      <c r="AD200" s="470" t="e">
        <f t="shared" si="91"/>
        <v>#REF!</v>
      </c>
      <c r="AE200" s="470" t="e">
        <f t="shared" si="91"/>
        <v>#REF!</v>
      </c>
      <c r="AF200" s="470" t="e">
        <f t="shared" si="91"/>
        <v>#REF!</v>
      </c>
      <c r="AG200" s="470" t="e">
        <f t="shared" si="91"/>
        <v>#REF!</v>
      </c>
      <c r="AH200" s="470" t="e">
        <f t="shared" si="91"/>
        <v>#REF!</v>
      </c>
      <c r="AI200" s="470" t="e">
        <f t="shared" si="91"/>
        <v>#REF!</v>
      </c>
      <c r="AJ200" s="470" t="e">
        <f t="shared" si="91"/>
        <v>#REF!</v>
      </c>
      <c r="AK200" s="470" t="e">
        <f t="shared" si="91"/>
        <v>#REF!</v>
      </c>
      <c r="AL200" s="470" t="e">
        <f t="shared" si="91"/>
        <v>#REF!</v>
      </c>
      <c r="AM200" s="470" t="e">
        <f t="shared" si="91"/>
        <v>#REF!</v>
      </c>
      <c r="AN200" s="471" t="e">
        <f t="shared" si="91"/>
        <v>#REF!</v>
      </c>
    </row>
    <row r="201" spans="1:40" s="431" customFormat="1" ht="12.75" outlineLevel="2">
      <c r="A201" s="457"/>
      <c r="B201" s="457"/>
      <c r="C201" s="457"/>
      <c r="D201" s="457"/>
      <c r="E201" s="457"/>
      <c r="F201" s="487" t="s">
        <v>321</v>
      </c>
      <c r="G201" s="488" t="s">
        <v>314</v>
      </c>
      <c r="H201" s="489">
        <f aca="true" t="shared" si="92" ref="H201:AN201">+IF(H10=0,0,IF(G227&lt;&gt;0,H227/G227-1,0))</f>
        <v>0.03655915966794465</v>
      </c>
      <c r="I201" s="489">
        <f t="shared" si="92"/>
        <v>0.1182294313707768</v>
      </c>
      <c r="J201" s="490">
        <f t="shared" si="92"/>
        <v>-0.08328525089770145</v>
      </c>
      <c r="K201" s="491">
        <f t="shared" si="92"/>
        <v>0.023242268275500022</v>
      </c>
      <c r="L201" s="492">
        <f t="shared" si="92"/>
        <v>-0.019288098524364417</v>
      </c>
      <c r="M201" s="492">
        <f t="shared" si="92"/>
        <v>0.010084657315749368</v>
      </c>
      <c r="N201" s="492">
        <f t="shared" si="92"/>
        <v>0.009944751381215422</v>
      </c>
      <c r="O201" s="492">
        <f t="shared" si="92"/>
        <v>0.013493800145878865</v>
      </c>
      <c r="P201" s="492">
        <f t="shared" si="92"/>
        <v>0.015833033465275204</v>
      </c>
      <c r="Q201" s="492">
        <f t="shared" si="92"/>
        <v>0.015586255756287581</v>
      </c>
      <c r="R201" s="492">
        <f t="shared" si="92"/>
        <v>0.016393442622950838</v>
      </c>
      <c r="S201" s="492">
        <f t="shared" si="92"/>
        <v>0.016129032258064502</v>
      </c>
      <c r="T201" s="492">
        <f t="shared" si="92"/>
        <v>0.015197568389057725</v>
      </c>
      <c r="U201" s="492" t="e">
        <f t="shared" si="92"/>
        <v>#REF!</v>
      </c>
      <c r="V201" s="492" t="e">
        <f t="shared" si="92"/>
        <v>#REF!</v>
      </c>
      <c r="W201" s="492" t="e">
        <f t="shared" si="92"/>
        <v>#REF!</v>
      </c>
      <c r="X201" s="492" t="e">
        <f t="shared" si="92"/>
        <v>#REF!</v>
      </c>
      <c r="Y201" s="492" t="e">
        <f t="shared" si="92"/>
        <v>#REF!</v>
      </c>
      <c r="Z201" s="492" t="e">
        <f t="shared" si="92"/>
        <v>#REF!</v>
      </c>
      <c r="AA201" s="492" t="e">
        <f t="shared" si="92"/>
        <v>#REF!</v>
      </c>
      <c r="AB201" s="492" t="e">
        <f t="shared" si="92"/>
        <v>#REF!</v>
      </c>
      <c r="AC201" s="492" t="e">
        <f t="shared" si="92"/>
        <v>#REF!</v>
      </c>
      <c r="AD201" s="492" t="e">
        <f t="shared" si="92"/>
        <v>#REF!</v>
      </c>
      <c r="AE201" s="492" t="e">
        <f t="shared" si="92"/>
        <v>#REF!</v>
      </c>
      <c r="AF201" s="492" t="e">
        <f t="shared" si="92"/>
        <v>#REF!</v>
      </c>
      <c r="AG201" s="492" t="e">
        <f t="shared" si="92"/>
        <v>#REF!</v>
      </c>
      <c r="AH201" s="492" t="e">
        <f t="shared" si="92"/>
        <v>#REF!</v>
      </c>
      <c r="AI201" s="492" t="e">
        <f t="shared" si="92"/>
        <v>#REF!</v>
      </c>
      <c r="AJ201" s="492" t="e">
        <f t="shared" si="92"/>
        <v>#REF!</v>
      </c>
      <c r="AK201" s="492" t="e">
        <f t="shared" si="92"/>
        <v>#REF!</v>
      </c>
      <c r="AL201" s="492" t="e">
        <f t="shared" si="92"/>
        <v>#REF!</v>
      </c>
      <c r="AM201" s="492" t="e">
        <f t="shared" si="92"/>
        <v>#REF!</v>
      </c>
      <c r="AN201" s="493" t="e">
        <f t="shared" si="92"/>
        <v>#REF!</v>
      </c>
    </row>
    <row r="202" spans="6:40" ht="12.75" outlineLevel="2">
      <c r="F202" s="472" t="s">
        <v>322</v>
      </c>
      <c r="G202" s="473" t="s">
        <v>314</v>
      </c>
      <c r="H202" s="474">
        <f aca="true" t="shared" si="93" ref="H202:AN202">+IF(H10=0,0,IF(G228&lt;&gt;0,H228/G228-1,0))</f>
        <v>0.03655915966794465</v>
      </c>
      <c r="I202" s="474">
        <f t="shared" si="93"/>
        <v>0.1182294313707768</v>
      </c>
      <c r="J202" s="475">
        <f t="shared" si="93"/>
        <v>-0.08328525089770145</v>
      </c>
      <c r="K202" s="469">
        <f t="shared" si="93"/>
        <v>-0.04181825920876403</v>
      </c>
      <c r="L202" s="470">
        <f t="shared" si="93"/>
        <v>0.03708847648323865</v>
      </c>
      <c r="M202" s="470">
        <f t="shared" si="93"/>
        <v>0.02003246070151188</v>
      </c>
      <c r="N202" s="470">
        <f t="shared" si="93"/>
        <v>0.009944751381215422</v>
      </c>
      <c r="O202" s="470">
        <f t="shared" si="93"/>
        <v>0.013493800145878865</v>
      </c>
      <c r="P202" s="470">
        <f t="shared" si="93"/>
        <v>0.015833033465275204</v>
      </c>
      <c r="Q202" s="470">
        <f t="shared" si="93"/>
        <v>0.015586255756287581</v>
      </c>
      <c r="R202" s="470">
        <f t="shared" si="93"/>
        <v>0.016393442622950838</v>
      </c>
      <c r="S202" s="470">
        <f t="shared" si="93"/>
        <v>0.016129032258064502</v>
      </c>
      <c r="T202" s="470">
        <f t="shared" si="93"/>
        <v>0.015197568389057725</v>
      </c>
      <c r="U202" s="470" t="e">
        <f t="shared" si="93"/>
        <v>#REF!</v>
      </c>
      <c r="V202" s="470" t="e">
        <f t="shared" si="93"/>
        <v>#REF!</v>
      </c>
      <c r="W202" s="470" t="e">
        <f t="shared" si="93"/>
        <v>#REF!</v>
      </c>
      <c r="X202" s="470" t="e">
        <f t="shared" si="93"/>
        <v>#REF!</v>
      </c>
      <c r="Y202" s="470" t="e">
        <f t="shared" si="93"/>
        <v>#REF!</v>
      </c>
      <c r="Z202" s="470" t="e">
        <f t="shared" si="93"/>
        <v>#REF!</v>
      </c>
      <c r="AA202" s="470" t="e">
        <f t="shared" si="93"/>
        <v>#REF!</v>
      </c>
      <c r="AB202" s="470" t="e">
        <f t="shared" si="93"/>
        <v>#REF!</v>
      </c>
      <c r="AC202" s="470" t="e">
        <f t="shared" si="93"/>
        <v>#REF!</v>
      </c>
      <c r="AD202" s="470" t="e">
        <f t="shared" si="93"/>
        <v>#REF!</v>
      </c>
      <c r="AE202" s="470" t="e">
        <f t="shared" si="93"/>
        <v>#REF!</v>
      </c>
      <c r="AF202" s="470" t="e">
        <f t="shared" si="93"/>
        <v>#REF!</v>
      </c>
      <c r="AG202" s="470" t="e">
        <f t="shared" si="93"/>
        <v>#REF!</v>
      </c>
      <c r="AH202" s="470" t="e">
        <f t="shared" si="93"/>
        <v>#REF!</v>
      </c>
      <c r="AI202" s="470" t="e">
        <f t="shared" si="93"/>
        <v>#REF!</v>
      </c>
      <c r="AJ202" s="470" t="e">
        <f t="shared" si="93"/>
        <v>#REF!</v>
      </c>
      <c r="AK202" s="470" t="e">
        <f t="shared" si="93"/>
        <v>#REF!</v>
      </c>
      <c r="AL202" s="470" t="e">
        <f t="shared" si="93"/>
        <v>#REF!</v>
      </c>
      <c r="AM202" s="470" t="e">
        <f t="shared" si="93"/>
        <v>#REF!</v>
      </c>
      <c r="AN202" s="471" t="e">
        <f t="shared" si="93"/>
        <v>#REF!</v>
      </c>
    </row>
    <row r="203" spans="6:40" ht="12.75" outlineLevel="2">
      <c r="F203" s="472" t="s">
        <v>323</v>
      </c>
      <c r="G203" s="473" t="s">
        <v>314</v>
      </c>
      <c r="H203" s="474">
        <f aca="true" t="shared" si="94" ref="H203:AN203">+IF(H10=0,0,IF(G229&lt;&gt;0,H229/G229-1,0))</f>
        <v>-1</v>
      </c>
      <c r="I203" s="474">
        <f t="shared" si="94"/>
        <v>0</v>
      </c>
      <c r="J203" s="475">
        <f t="shared" si="94"/>
        <v>-0.016080881175560724</v>
      </c>
      <c r="K203" s="469">
        <f t="shared" si="94"/>
        <v>0.035722429028518965</v>
      </c>
      <c r="L203" s="470">
        <f t="shared" si="94"/>
        <v>-0.0028738943459653</v>
      </c>
      <c r="M203" s="470">
        <f t="shared" si="94"/>
        <v>0.032258064516129004</v>
      </c>
      <c r="N203" s="470">
        <f t="shared" si="94"/>
        <v>0.015625</v>
      </c>
      <c r="O203" s="470">
        <f t="shared" si="94"/>
        <v>0.01538461538461533</v>
      </c>
      <c r="P203" s="470">
        <f t="shared" si="94"/>
        <v>0.015151515151515138</v>
      </c>
      <c r="Q203" s="470">
        <f t="shared" si="94"/>
        <v>0.014925373134328401</v>
      </c>
      <c r="R203" s="470">
        <f t="shared" si="94"/>
        <v>0.014705882352941124</v>
      </c>
      <c r="S203" s="470">
        <f t="shared" si="94"/>
        <v>0.01449275362318847</v>
      </c>
      <c r="T203" s="470">
        <f t="shared" si="94"/>
        <v>0.017928571428571516</v>
      </c>
      <c r="U203" s="470" t="e">
        <f t="shared" si="94"/>
        <v>#REF!</v>
      </c>
      <c r="V203" s="470" t="e">
        <f t="shared" si="94"/>
        <v>#REF!</v>
      </c>
      <c r="W203" s="470" t="e">
        <f t="shared" si="94"/>
        <v>#REF!</v>
      </c>
      <c r="X203" s="470" t="e">
        <f t="shared" si="94"/>
        <v>#REF!</v>
      </c>
      <c r="Y203" s="470" t="e">
        <f t="shared" si="94"/>
        <v>#REF!</v>
      </c>
      <c r="Z203" s="470" t="e">
        <f t="shared" si="94"/>
        <v>#REF!</v>
      </c>
      <c r="AA203" s="470" t="e">
        <f t="shared" si="94"/>
        <v>#REF!</v>
      </c>
      <c r="AB203" s="470" t="e">
        <f t="shared" si="94"/>
        <v>#REF!</v>
      </c>
      <c r="AC203" s="470" t="e">
        <f t="shared" si="94"/>
        <v>#REF!</v>
      </c>
      <c r="AD203" s="470" t="e">
        <f t="shared" si="94"/>
        <v>#REF!</v>
      </c>
      <c r="AE203" s="470" t="e">
        <f t="shared" si="94"/>
        <v>#REF!</v>
      </c>
      <c r="AF203" s="470" t="e">
        <f t="shared" si="94"/>
        <v>#REF!</v>
      </c>
      <c r="AG203" s="470" t="e">
        <f t="shared" si="94"/>
        <v>#REF!</v>
      </c>
      <c r="AH203" s="470" t="e">
        <f t="shared" si="94"/>
        <v>#REF!</v>
      </c>
      <c r="AI203" s="470" t="e">
        <f t="shared" si="94"/>
        <v>#REF!</v>
      </c>
      <c r="AJ203" s="470" t="e">
        <f t="shared" si="94"/>
        <v>#REF!</v>
      </c>
      <c r="AK203" s="470" t="e">
        <f t="shared" si="94"/>
        <v>#REF!</v>
      </c>
      <c r="AL203" s="470" t="e">
        <f t="shared" si="94"/>
        <v>#REF!</v>
      </c>
      <c r="AM203" s="470" t="e">
        <f t="shared" si="94"/>
        <v>#REF!</v>
      </c>
      <c r="AN203" s="471" t="e">
        <f t="shared" si="94"/>
        <v>#REF!</v>
      </c>
    </row>
    <row r="204" spans="6:40" ht="12.75" outlineLevel="2">
      <c r="F204" s="476" t="s">
        <v>324</v>
      </c>
      <c r="G204" s="494" t="s">
        <v>314</v>
      </c>
      <c r="H204" s="495">
        <f aca="true" t="shared" si="95" ref="H204:AN204">+IF(H10=0,0,IF(G230&lt;&gt;0,H230/G230-1,0))</f>
        <v>0.8348975314804779</v>
      </c>
      <c r="I204" s="495">
        <f t="shared" si="95"/>
        <v>-0.3662361223343831</v>
      </c>
      <c r="J204" s="496">
        <f t="shared" si="95"/>
        <v>-0.13021508081165933</v>
      </c>
      <c r="K204" s="497">
        <f t="shared" si="95"/>
        <v>-1</v>
      </c>
      <c r="L204" s="498">
        <f t="shared" si="95"/>
        <v>0</v>
      </c>
      <c r="M204" s="498">
        <f t="shared" si="95"/>
        <v>-0.0021246264617097443</v>
      </c>
      <c r="N204" s="498">
        <f t="shared" si="95"/>
        <v>0.02207505518763786</v>
      </c>
      <c r="O204" s="498">
        <f t="shared" si="95"/>
        <v>0.021598272138228847</v>
      </c>
      <c r="P204" s="498">
        <f t="shared" si="95"/>
        <v>0.02114164904862581</v>
      </c>
      <c r="Q204" s="498">
        <f t="shared" si="95"/>
        <v>0.020703933747411973</v>
      </c>
      <c r="R204" s="498">
        <f t="shared" si="95"/>
        <v>0.020283975659229236</v>
      </c>
      <c r="S204" s="498">
        <f t="shared" si="95"/>
        <v>0.02047713717693833</v>
      </c>
      <c r="T204" s="498">
        <f t="shared" si="95"/>
        <v>0.018897330995519157</v>
      </c>
      <c r="U204" s="498" t="e">
        <f t="shared" si="95"/>
        <v>#REF!</v>
      </c>
      <c r="V204" s="498" t="e">
        <f t="shared" si="95"/>
        <v>#REF!</v>
      </c>
      <c r="W204" s="498" t="e">
        <f t="shared" si="95"/>
        <v>#REF!</v>
      </c>
      <c r="X204" s="498" t="e">
        <f t="shared" si="95"/>
        <v>#REF!</v>
      </c>
      <c r="Y204" s="498" t="e">
        <f t="shared" si="95"/>
        <v>#REF!</v>
      </c>
      <c r="Z204" s="498" t="e">
        <f t="shared" si="95"/>
        <v>#REF!</v>
      </c>
      <c r="AA204" s="498" t="e">
        <f t="shared" si="95"/>
        <v>#REF!</v>
      </c>
      <c r="AB204" s="498" t="e">
        <f t="shared" si="95"/>
        <v>#REF!</v>
      </c>
      <c r="AC204" s="498" t="e">
        <f t="shared" si="95"/>
        <v>#REF!</v>
      </c>
      <c r="AD204" s="498" t="e">
        <f t="shared" si="95"/>
        <v>#REF!</v>
      </c>
      <c r="AE204" s="498" t="e">
        <f t="shared" si="95"/>
        <v>#REF!</v>
      </c>
      <c r="AF204" s="498" t="e">
        <f t="shared" si="95"/>
        <v>#REF!</v>
      </c>
      <c r="AG204" s="498" t="e">
        <f t="shared" si="95"/>
        <v>#REF!</v>
      </c>
      <c r="AH204" s="498" t="e">
        <f t="shared" si="95"/>
        <v>#REF!</v>
      </c>
      <c r="AI204" s="498" t="e">
        <f t="shared" si="95"/>
        <v>#REF!</v>
      </c>
      <c r="AJ204" s="498" t="e">
        <f t="shared" si="95"/>
        <v>#REF!</v>
      </c>
      <c r="AK204" s="498" t="e">
        <f t="shared" si="95"/>
        <v>#REF!</v>
      </c>
      <c r="AL204" s="498" t="e">
        <f t="shared" si="95"/>
        <v>#REF!</v>
      </c>
      <c r="AM204" s="498" t="e">
        <f t="shared" si="95"/>
        <v>#REF!</v>
      </c>
      <c r="AN204" s="499" t="e">
        <f t="shared" si="95"/>
        <v>#REF!</v>
      </c>
    </row>
    <row r="205" spans="6:40" ht="12.75" outlineLevel="1">
      <c r="F205" s="136" t="s">
        <v>325</v>
      </c>
      <c r="G205" s="433"/>
      <c r="H205" s="433"/>
      <c r="I205" s="433"/>
      <c r="J205" s="433"/>
      <c r="K205" s="437"/>
      <c r="L205" s="437"/>
      <c r="M205" s="437"/>
      <c r="N205" s="437"/>
      <c r="O205" s="437"/>
      <c r="P205" s="437"/>
      <c r="Q205" s="437"/>
      <c r="R205" s="437"/>
      <c r="S205" s="437"/>
      <c r="T205" s="437"/>
      <c r="U205" s="437"/>
      <c r="V205" s="437"/>
      <c r="W205" s="437"/>
      <c r="X205" s="437"/>
      <c r="Y205" s="437"/>
      <c r="Z205" s="437"/>
      <c r="AA205" s="437"/>
      <c r="AB205" s="437"/>
      <c r="AC205" s="437"/>
      <c r="AD205" s="437"/>
      <c r="AE205" s="437"/>
      <c r="AF205" s="437"/>
      <c r="AG205" s="437"/>
      <c r="AH205" s="437"/>
      <c r="AI205" s="437"/>
      <c r="AJ205" s="437"/>
      <c r="AK205" s="437"/>
      <c r="AL205" s="437"/>
      <c r="AM205" s="437"/>
      <c r="AN205" s="437"/>
    </row>
    <row r="206" spans="1:40" s="431" customFormat="1" ht="12.75" outlineLevel="2">
      <c r="A206" s="457"/>
      <c r="B206" s="457"/>
      <c r="C206" s="457"/>
      <c r="D206" s="457"/>
      <c r="E206" s="457"/>
      <c r="F206" s="458" t="s">
        <v>9</v>
      </c>
      <c r="G206" s="500" t="s">
        <v>314</v>
      </c>
      <c r="H206" s="501">
        <f aca="true" t="shared" si="96" ref="H206:H211">+IF(H$219=0,"",H219-G219)</f>
        <v>-421433.6800000034</v>
      </c>
      <c r="I206" s="501">
        <f aca="true" t="shared" si="97" ref="I206:I211">+IF(I$219=0,"",I219-H219)</f>
        <v>4560677.6000000015</v>
      </c>
      <c r="J206" s="502">
        <f aca="true" t="shared" si="98" ref="J206:J211">+IF(J$219=0,"",J219-I219)</f>
        <v>-1185699.6599999964</v>
      </c>
      <c r="K206" s="503">
        <f aca="true" t="shared" si="99" ref="K206:AN211">+IF(K$219=0,"",K219-J219)</f>
        <v>-2494969.0500000007</v>
      </c>
      <c r="L206" s="504">
        <f t="shared" si="99"/>
        <v>-1220856.5100000016</v>
      </c>
      <c r="M206" s="504">
        <f t="shared" si="99"/>
        <v>277405.2899999991</v>
      </c>
      <c r="N206" s="504">
        <f t="shared" si="99"/>
        <v>500000</v>
      </c>
      <c r="O206" s="504">
        <f t="shared" si="99"/>
        <v>500000</v>
      </c>
      <c r="P206" s="504">
        <f t="shared" si="99"/>
        <v>500000</v>
      </c>
      <c r="Q206" s="504">
        <f t="shared" si="99"/>
        <v>500000</v>
      </c>
      <c r="R206" s="504">
        <f t="shared" si="99"/>
        <v>500000</v>
      </c>
      <c r="S206" s="504">
        <f t="shared" si="99"/>
        <v>500000</v>
      </c>
      <c r="T206" s="504">
        <f t="shared" si="99"/>
        <v>500000</v>
      </c>
      <c r="U206" s="504" t="e">
        <f t="shared" si="99"/>
        <v>#REF!</v>
      </c>
      <c r="V206" s="504" t="e">
        <f t="shared" si="99"/>
        <v>#REF!</v>
      </c>
      <c r="W206" s="504" t="e">
        <f t="shared" si="99"/>
        <v>#REF!</v>
      </c>
      <c r="X206" s="504" t="e">
        <f t="shared" si="99"/>
        <v>#REF!</v>
      </c>
      <c r="Y206" s="504" t="e">
        <f t="shared" si="99"/>
        <v>#REF!</v>
      </c>
      <c r="Z206" s="504" t="e">
        <f t="shared" si="99"/>
        <v>#REF!</v>
      </c>
      <c r="AA206" s="504" t="e">
        <f t="shared" si="99"/>
        <v>#REF!</v>
      </c>
      <c r="AB206" s="504" t="e">
        <f t="shared" si="99"/>
        <v>#REF!</v>
      </c>
      <c r="AC206" s="504" t="e">
        <f t="shared" si="99"/>
        <v>#REF!</v>
      </c>
      <c r="AD206" s="504" t="e">
        <f t="shared" si="99"/>
        <v>#REF!</v>
      </c>
      <c r="AE206" s="504" t="e">
        <f t="shared" si="99"/>
        <v>#REF!</v>
      </c>
      <c r="AF206" s="504" t="e">
        <f t="shared" si="99"/>
        <v>#REF!</v>
      </c>
      <c r="AG206" s="504" t="e">
        <f t="shared" si="99"/>
        <v>#REF!</v>
      </c>
      <c r="AH206" s="504" t="e">
        <f t="shared" si="99"/>
        <v>#REF!</v>
      </c>
      <c r="AI206" s="504" t="e">
        <f t="shared" si="99"/>
        <v>#REF!</v>
      </c>
      <c r="AJ206" s="504" t="e">
        <f t="shared" si="99"/>
        <v>#REF!</v>
      </c>
      <c r="AK206" s="504" t="e">
        <f t="shared" si="99"/>
        <v>#REF!</v>
      </c>
      <c r="AL206" s="504" t="e">
        <f t="shared" si="99"/>
        <v>#REF!</v>
      </c>
      <c r="AM206" s="504" t="e">
        <f t="shared" si="99"/>
        <v>#REF!</v>
      </c>
      <c r="AN206" s="505" t="e">
        <f t="shared" si="99"/>
        <v>#REF!</v>
      </c>
    </row>
    <row r="207" spans="6:40" ht="15" customHeight="1" outlineLevel="2">
      <c r="F207" s="465" t="s">
        <v>315</v>
      </c>
      <c r="G207" s="506" t="s">
        <v>314</v>
      </c>
      <c r="H207" s="507">
        <f t="shared" si="96"/>
        <v>-421433.6800000034</v>
      </c>
      <c r="I207" s="507">
        <f t="shared" si="97"/>
        <v>4560677.6000000015</v>
      </c>
      <c r="J207" s="508">
        <f t="shared" si="98"/>
        <v>-2117090.049999997</v>
      </c>
      <c r="K207" s="509">
        <f t="shared" si="99"/>
        <v>-3596608.830000002</v>
      </c>
      <c r="L207" s="510">
        <f t="shared" si="99"/>
        <v>589578.9499999993</v>
      </c>
      <c r="M207" s="510">
        <f t="shared" si="99"/>
        <v>500000</v>
      </c>
      <c r="N207" s="510">
        <f t="shared" si="99"/>
        <v>500000</v>
      </c>
      <c r="O207" s="510">
        <f t="shared" si="99"/>
        <v>500000</v>
      </c>
      <c r="P207" s="510">
        <f t="shared" si="99"/>
        <v>500000</v>
      </c>
      <c r="Q207" s="510">
        <f t="shared" si="99"/>
        <v>500000</v>
      </c>
      <c r="R207" s="510">
        <f t="shared" si="99"/>
        <v>500000</v>
      </c>
      <c r="S207" s="510">
        <f t="shared" si="99"/>
        <v>500000</v>
      </c>
      <c r="T207" s="510">
        <f t="shared" si="99"/>
        <v>500000</v>
      </c>
      <c r="U207" s="510" t="e">
        <f t="shared" si="99"/>
        <v>#REF!</v>
      </c>
      <c r="V207" s="510" t="e">
        <f t="shared" si="99"/>
        <v>#REF!</v>
      </c>
      <c r="W207" s="510" t="e">
        <f t="shared" si="99"/>
        <v>#REF!</v>
      </c>
      <c r="X207" s="510" t="e">
        <f t="shared" si="99"/>
        <v>#REF!</v>
      </c>
      <c r="Y207" s="510" t="e">
        <f t="shared" si="99"/>
        <v>#REF!</v>
      </c>
      <c r="Z207" s="510" t="e">
        <f t="shared" si="99"/>
        <v>#REF!</v>
      </c>
      <c r="AA207" s="510" t="e">
        <f t="shared" si="99"/>
        <v>#REF!</v>
      </c>
      <c r="AB207" s="510" t="e">
        <f t="shared" si="99"/>
        <v>#REF!</v>
      </c>
      <c r="AC207" s="510" t="e">
        <f t="shared" si="99"/>
        <v>#REF!</v>
      </c>
      <c r="AD207" s="510" t="e">
        <f t="shared" si="99"/>
        <v>#REF!</v>
      </c>
      <c r="AE207" s="510" t="e">
        <f t="shared" si="99"/>
        <v>#REF!</v>
      </c>
      <c r="AF207" s="510" t="e">
        <f t="shared" si="99"/>
        <v>#REF!</v>
      </c>
      <c r="AG207" s="510" t="e">
        <f t="shared" si="99"/>
        <v>#REF!</v>
      </c>
      <c r="AH207" s="510" t="e">
        <f t="shared" si="99"/>
        <v>#REF!</v>
      </c>
      <c r="AI207" s="510" t="e">
        <f t="shared" si="99"/>
        <v>#REF!</v>
      </c>
      <c r="AJ207" s="510" t="e">
        <f t="shared" si="99"/>
        <v>#REF!</v>
      </c>
      <c r="AK207" s="510" t="e">
        <f t="shared" si="99"/>
        <v>#REF!</v>
      </c>
      <c r="AL207" s="510" t="e">
        <f t="shared" si="99"/>
        <v>#REF!</v>
      </c>
      <c r="AM207" s="510" t="e">
        <f t="shared" si="99"/>
        <v>#REF!</v>
      </c>
      <c r="AN207" s="511" t="e">
        <f t="shared" si="99"/>
        <v>#REF!</v>
      </c>
    </row>
    <row r="208" spans="6:40" ht="15" customHeight="1" outlineLevel="2">
      <c r="F208" s="472" t="s">
        <v>316</v>
      </c>
      <c r="G208" s="512" t="s">
        <v>314</v>
      </c>
      <c r="H208" s="513">
        <f t="shared" si="96"/>
        <v>2518705.0100000016</v>
      </c>
      <c r="I208" s="513">
        <f t="shared" si="97"/>
        <v>1503233.259999998</v>
      </c>
      <c r="J208" s="514">
        <f t="shared" si="98"/>
        <v>-1429228.379999999</v>
      </c>
      <c r="K208" s="509">
        <f t="shared" si="99"/>
        <v>1038924.9800000004</v>
      </c>
      <c r="L208" s="510">
        <f t="shared" si="99"/>
        <v>974578.9499999993</v>
      </c>
      <c r="M208" s="510">
        <f t="shared" si="99"/>
        <v>500000</v>
      </c>
      <c r="N208" s="510">
        <f t="shared" si="99"/>
        <v>500000</v>
      </c>
      <c r="O208" s="510">
        <f t="shared" si="99"/>
        <v>500000</v>
      </c>
      <c r="P208" s="510">
        <f t="shared" si="99"/>
        <v>500000</v>
      </c>
      <c r="Q208" s="510">
        <f t="shared" si="99"/>
        <v>500000</v>
      </c>
      <c r="R208" s="510">
        <f t="shared" si="99"/>
        <v>500000</v>
      </c>
      <c r="S208" s="510">
        <f t="shared" si="99"/>
        <v>500000</v>
      </c>
      <c r="T208" s="510">
        <f t="shared" si="99"/>
        <v>500000</v>
      </c>
      <c r="U208" s="510" t="e">
        <f t="shared" si="99"/>
        <v>#REF!</v>
      </c>
      <c r="V208" s="510" t="e">
        <f t="shared" si="99"/>
        <v>#REF!</v>
      </c>
      <c r="W208" s="510" t="e">
        <f t="shared" si="99"/>
        <v>#REF!</v>
      </c>
      <c r="X208" s="510" t="e">
        <f t="shared" si="99"/>
        <v>#REF!</v>
      </c>
      <c r="Y208" s="510" t="e">
        <f t="shared" si="99"/>
        <v>#REF!</v>
      </c>
      <c r="Z208" s="510" t="e">
        <f t="shared" si="99"/>
        <v>#REF!</v>
      </c>
      <c r="AA208" s="510" t="e">
        <f t="shared" si="99"/>
        <v>#REF!</v>
      </c>
      <c r="AB208" s="510" t="e">
        <f t="shared" si="99"/>
        <v>#REF!</v>
      </c>
      <c r="AC208" s="510" t="e">
        <f t="shared" si="99"/>
        <v>#REF!</v>
      </c>
      <c r="AD208" s="510" t="e">
        <f t="shared" si="99"/>
        <v>#REF!</v>
      </c>
      <c r="AE208" s="510" t="e">
        <f t="shared" si="99"/>
        <v>#REF!</v>
      </c>
      <c r="AF208" s="510" t="e">
        <f t="shared" si="99"/>
        <v>#REF!</v>
      </c>
      <c r="AG208" s="510" t="e">
        <f t="shared" si="99"/>
        <v>#REF!</v>
      </c>
      <c r="AH208" s="510" t="e">
        <f t="shared" si="99"/>
        <v>#REF!</v>
      </c>
      <c r="AI208" s="510" t="e">
        <f t="shared" si="99"/>
        <v>#REF!</v>
      </c>
      <c r="AJ208" s="510" t="e">
        <f t="shared" si="99"/>
        <v>#REF!</v>
      </c>
      <c r="AK208" s="510" t="e">
        <f t="shared" si="99"/>
        <v>#REF!</v>
      </c>
      <c r="AL208" s="510" t="e">
        <f t="shared" si="99"/>
        <v>#REF!</v>
      </c>
      <c r="AM208" s="510" t="e">
        <f t="shared" si="99"/>
        <v>#REF!</v>
      </c>
      <c r="AN208" s="511" t="e">
        <f t="shared" si="99"/>
        <v>#REF!</v>
      </c>
    </row>
    <row r="209" spans="6:40" ht="15" customHeight="1" outlineLevel="2">
      <c r="F209" s="472" t="s">
        <v>317</v>
      </c>
      <c r="G209" s="512" t="s">
        <v>314</v>
      </c>
      <c r="H209" s="513">
        <f t="shared" si="96"/>
        <v>-2940138.69</v>
      </c>
      <c r="I209" s="513">
        <f t="shared" si="97"/>
        <v>3057444.3400000003</v>
      </c>
      <c r="J209" s="514">
        <f t="shared" si="98"/>
        <v>-687861.6700000009</v>
      </c>
      <c r="K209" s="509">
        <f t="shared" si="99"/>
        <v>-4635533.81</v>
      </c>
      <c r="L209" s="510">
        <f t="shared" si="99"/>
        <v>-385000</v>
      </c>
      <c r="M209" s="510">
        <f t="shared" si="99"/>
        <v>0</v>
      </c>
      <c r="N209" s="510">
        <f t="shared" si="99"/>
        <v>0</v>
      </c>
      <c r="O209" s="510">
        <f t="shared" si="99"/>
        <v>0</v>
      </c>
      <c r="P209" s="510">
        <f t="shared" si="99"/>
        <v>0</v>
      </c>
      <c r="Q209" s="510">
        <f t="shared" si="99"/>
        <v>0</v>
      </c>
      <c r="R209" s="510">
        <f t="shared" si="99"/>
        <v>0</v>
      </c>
      <c r="S209" s="510">
        <f t="shared" si="99"/>
        <v>0</v>
      </c>
      <c r="T209" s="510">
        <f t="shared" si="99"/>
        <v>0</v>
      </c>
      <c r="U209" s="510" t="e">
        <f t="shared" si="99"/>
        <v>#REF!</v>
      </c>
      <c r="V209" s="510" t="e">
        <f t="shared" si="99"/>
        <v>#REF!</v>
      </c>
      <c r="W209" s="510" t="e">
        <f t="shared" si="99"/>
        <v>#REF!</v>
      </c>
      <c r="X209" s="510" t="e">
        <f t="shared" si="99"/>
        <v>#REF!</v>
      </c>
      <c r="Y209" s="510" t="e">
        <f t="shared" si="99"/>
        <v>#REF!</v>
      </c>
      <c r="Z209" s="510" t="e">
        <f t="shared" si="99"/>
        <v>#REF!</v>
      </c>
      <c r="AA209" s="510" t="e">
        <f t="shared" si="99"/>
        <v>#REF!</v>
      </c>
      <c r="AB209" s="510" t="e">
        <f t="shared" si="99"/>
        <v>#REF!</v>
      </c>
      <c r="AC209" s="510" t="e">
        <f t="shared" si="99"/>
        <v>#REF!</v>
      </c>
      <c r="AD209" s="510" t="e">
        <f t="shared" si="99"/>
        <v>#REF!</v>
      </c>
      <c r="AE209" s="510" t="e">
        <f t="shared" si="99"/>
        <v>#REF!</v>
      </c>
      <c r="AF209" s="510" t="e">
        <f t="shared" si="99"/>
        <v>#REF!</v>
      </c>
      <c r="AG209" s="510" t="e">
        <f t="shared" si="99"/>
        <v>#REF!</v>
      </c>
      <c r="AH209" s="510" t="e">
        <f t="shared" si="99"/>
        <v>#REF!</v>
      </c>
      <c r="AI209" s="510" t="e">
        <f t="shared" si="99"/>
        <v>#REF!</v>
      </c>
      <c r="AJ209" s="510" t="e">
        <f t="shared" si="99"/>
        <v>#REF!</v>
      </c>
      <c r="AK209" s="510" t="e">
        <f t="shared" si="99"/>
        <v>#REF!</v>
      </c>
      <c r="AL209" s="510" t="e">
        <f t="shared" si="99"/>
        <v>#REF!</v>
      </c>
      <c r="AM209" s="510" t="e">
        <f t="shared" si="99"/>
        <v>#REF!</v>
      </c>
      <c r="AN209" s="511" t="e">
        <f t="shared" si="99"/>
        <v>#REF!</v>
      </c>
    </row>
    <row r="210" spans="6:40" ht="12.75" outlineLevel="2">
      <c r="F210" s="472" t="s">
        <v>318</v>
      </c>
      <c r="G210" s="512" t="s">
        <v>314</v>
      </c>
      <c r="H210" s="513">
        <f t="shared" si="96"/>
        <v>-1629003.4</v>
      </c>
      <c r="I210" s="513">
        <f t="shared" si="97"/>
        <v>2983450.1</v>
      </c>
      <c r="J210" s="514">
        <f t="shared" si="98"/>
        <v>-747749.9900000012</v>
      </c>
      <c r="K210" s="509">
        <f t="shared" si="99"/>
        <v>-4600645.489999999</v>
      </c>
      <c r="L210" s="510">
        <f t="shared" si="99"/>
        <v>-260000</v>
      </c>
      <c r="M210" s="510">
        <f t="shared" si="99"/>
        <v>0</v>
      </c>
      <c r="N210" s="510">
        <f t="shared" si="99"/>
        <v>0</v>
      </c>
      <c r="O210" s="510">
        <f t="shared" si="99"/>
        <v>0</v>
      </c>
      <c r="P210" s="510">
        <f t="shared" si="99"/>
        <v>0</v>
      </c>
      <c r="Q210" s="510">
        <f t="shared" si="99"/>
        <v>0</v>
      </c>
      <c r="R210" s="510">
        <f t="shared" si="99"/>
        <v>0</v>
      </c>
      <c r="S210" s="510">
        <f t="shared" si="99"/>
        <v>0</v>
      </c>
      <c r="T210" s="510">
        <f t="shared" si="99"/>
        <v>0</v>
      </c>
      <c r="U210" s="510" t="e">
        <f t="shared" si="99"/>
        <v>#REF!</v>
      </c>
      <c r="V210" s="510" t="e">
        <f t="shared" si="99"/>
        <v>#REF!</v>
      </c>
      <c r="W210" s="510" t="e">
        <f t="shared" si="99"/>
        <v>#REF!</v>
      </c>
      <c r="X210" s="510" t="e">
        <f t="shared" si="99"/>
        <v>#REF!</v>
      </c>
      <c r="Y210" s="510" t="e">
        <f t="shared" si="99"/>
        <v>#REF!</v>
      </c>
      <c r="Z210" s="510" t="e">
        <f t="shared" si="99"/>
        <v>#REF!</v>
      </c>
      <c r="AA210" s="510" t="e">
        <f t="shared" si="99"/>
        <v>#REF!</v>
      </c>
      <c r="AB210" s="510" t="e">
        <f t="shared" si="99"/>
        <v>#REF!</v>
      </c>
      <c r="AC210" s="510" t="e">
        <f t="shared" si="99"/>
        <v>#REF!</v>
      </c>
      <c r="AD210" s="510" t="e">
        <f t="shared" si="99"/>
        <v>#REF!</v>
      </c>
      <c r="AE210" s="510" t="e">
        <f t="shared" si="99"/>
        <v>#REF!</v>
      </c>
      <c r="AF210" s="510" t="e">
        <f t="shared" si="99"/>
        <v>#REF!</v>
      </c>
      <c r="AG210" s="510" t="e">
        <f t="shared" si="99"/>
        <v>#REF!</v>
      </c>
      <c r="AH210" s="510" t="e">
        <f t="shared" si="99"/>
        <v>#REF!</v>
      </c>
      <c r="AI210" s="510" t="e">
        <f t="shared" si="99"/>
        <v>#REF!</v>
      </c>
      <c r="AJ210" s="510" t="e">
        <f t="shared" si="99"/>
        <v>#REF!</v>
      </c>
      <c r="AK210" s="510" t="e">
        <f t="shared" si="99"/>
        <v>#REF!</v>
      </c>
      <c r="AL210" s="510" t="e">
        <f t="shared" si="99"/>
        <v>#REF!</v>
      </c>
      <c r="AM210" s="510" t="e">
        <f t="shared" si="99"/>
        <v>#REF!</v>
      </c>
      <c r="AN210" s="511" t="e">
        <f t="shared" si="99"/>
        <v>#REF!</v>
      </c>
    </row>
    <row r="211" spans="6:40" ht="15" customHeight="1" outlineLevel="2">
      <c r="F211" s="476" t="s">
        <v>319</v>
      </c>
      <c r="G211" s="515" t="s">
        <v>314</v>
      </c>
      <c r="H211" s="516">
        <f t="shared" si="96"/>
        <v>-1311135.29</v>
      </c>
      <c r="I211" s="516">
        <f t="shared" si="97"/>
        <v>73994.24</v>
      </c>
      <c r="J211" s="517">
        <f t="shared" si="98"/>
        <v>59888.32000000001</v>
      </c>
      <c r="K211" s="518">
        <f t="shared" si="99"/>
        <v>-34888.32000000001</v>
      </c>
      <c r="L211" s="519">
        <f t="shared" si="99"/>
        <v>-125000</v>
      </c>
      <c r="M211" s="519">
        <f t="shared" si="99"/>
        <v>0</v>
      </c>
      <c r="N211" s="519">
        <f t="shared" si="99"/>
        <v>0</v>
      </c>
      <c r="O211" s="519">
        <f t="shared" si="99"/>
        <v>0</v>
      </c>
      <c r="P211" s="519">
        <f t="shared" si="99"/>
        <v>0</v>
      </c>
      <c r="Q211" s="519">
        <f t="shared" si="99"/>
        <v>0</v>
      </c>
      <c r="R211" s="519">
        <f t="shared" si="99"/>
        <v>0</v>
      </c>
      <c r="S211" s="519">
        <f t="shared" si="99"/>
        <v>0</v>
      </c>
      <c r="T211" s="519">
        <f t="shared" si="99"/>
        <v>0</v>
      </c>
      <c r="U211" s="519" t="e">
        <f t="shared" si="99"/>
        <v>#REF!</v>
      </c>
      <c r="V211" s="519" t="e">
        <f t="shared" si="99"/>
        <v>#REF!</v>
      </c>
      <c r="W211" s="519" t="e">
        <f t="shared" si="99"/>
        <v>#REF!</v>
      </c>
      <c r="X211" s="519" t="e">
        <f t="shared" si="99"/>
        <v>#REF!</v>
      </c>
      <c r="Y211" s="519" t="e">
        <f t="shared" si="99"/>
        <v>#REF!</v>
      </c>
      <c r="Z211" s="519" t="e">
        <f t="shared" si="99"/>
        <v>#REF!</v>
      </c>
      <c r="AA211" s="519" t="e">
        <f t="shared" si="99"/>
        <v>#REF!</v>
      </c>
      <c r="AB211" s="519" t="e">
        <f t="shared" si="99"/>
        <v>#REF!</v>
      </c>
      <c r="AC211" s="519" t="e">
        <f t="shared" si="99"/>
        <v>#REF!</v>
      </c>
      <c r="AD211" s="519" t="e">
        <f t="shared" si="99"/>
        <v>#REF!</v>
      </c>
      <c r="AE211" s="519" t="e">
        <f t="shared" si="99"/>
        <v>#REF!</v>
      </c>
      <c r="AF211" s="519" t="e">
        <f t="shared" si="99"/>
        <v>#REF!</v>
      </c>
      <c r="AG211" s="519" t="e">
        <f t="shared" si="99"/>
        <v>#REF!</v>
      </c>
      <c r="AH211" s="519" t="e">
        <f t="shared" si="99"/>
        <v>#REF!</v>
      </c>
      <c r="AI211" s="519" t="e">
        <f t="shared" si="99"/>
        <v>#REF!</v>
      </c>
      <c r="AJ211" s="519" t="e">
        <f t="shared" si="99"/>
        <v>#REF!</v>
      </c>
      <c r="AK211" s="519" t="e">
        <f t="shared" si="99"/>
        <v>#REF!</v>
      </c>
      <c r="AL211" s="519" t="e">
        <f t="shared" si="99"/>
        <v>#REF!</v>
      </c>
      <c r="AM211" s="519" t="e">
        <f t="shared" si="99"/>
        <v>#REF!</v>
      </c>
      <c r="AN211" s="520" t="e">
        <f t="shared" si="99"/>
        <v>#REF!</v>
      </c>
    </row>
    <row r="212" spans="1:40" s="431" customFormat="1" ht="12.75" outlineLevel="2">
      <c r="A212" s="457"/>
      <c r="B212" s="457"/>
      <c r="C212" s="457"/>
      <c r="D212" s="457"/>
      <c r="E212" s="457"/>
      <c r="F212" s="458" t="s">
        <v>30</v>
      </c>
      <c r="G212" s="500" t="s">
        <v>314</v>
      </c>
      <c r="H212" s="501">
        <f aca="true" t="shared" si="100" ref="H212:H217">+IF(H$225=0,"",H225-G225)</f>
        <v>-3572131.7700000033</v>
      </c>
      <c r="I212" s="501">
        <f aca="true" t="shared" si="101" ref="I212:I217">+IF(I$225=0,"",I225-H225)</f>
        <v>9458456.93</v>
      </c>
      <c r="J212" s="502">
        <f aca="true" t="shared" si="102" ref="J212:J217">+IF(J$225=0,"",J225-I225)</f>
        <v>-4111034.670000002</v>
      </c>
      <c r="K212" s="503">
        <f aca="true" t="shared" si="103" ref="K212:K217">+IF(K$225=0,"",K225-J225)</f>
        <v>-1833763.75</v>
      </c>
      <c r="L212" s="504">
        <f aca="true" t="shared" si="104" ref="L212:AN217">+IF(L$225=0,"",L225-K225)</f>
        <v>-5128267.73</v>
      </c>
      <c r="M212" s="504">
        <f t="shared" si="104"/>
        <v>-272594.70999999717</v>
      </c>
      <c r="N212" s="504">
        <f t="shared" si="104"/>
        <v>350000</v>
      </c>
      <c r="O212" s="504">
        <f t="shared" si="104"/>
        <v>300000</v>
      </c>
      <c r="P212" s="504">
        <f t="shared" si="104"/>
        <v>600000</v>
      </c>
      <c r="Q212" s="504">
        <f t="shared" si="104"/>
        <v>600000</v>
      </c>
      <c r="R212" s="504">
        <f t="shared" si="104"/>
        <v>500000</v>
      </c>
      <c r="S212" s="504">
        <f t="shared" si="104"/>
        <v>1500000</v>
      </c>
      <c r="T212" s="504">
        <f t="shared" si="104"/>
        <v>446631.83999999985</v>
      </c>
      <c r="U212" s="504" t="e">
        <f t="shared" si="104"/>
        <v>#REF!</v>
      </c>
      <c r="V212" s="504" t="e">
        <f t="shared" si="104"/>
        <v>#REF!</v>
      </c>
      <c r="W212" s="504" t="e">
        <f t="shared" si="104"/>
        <v>#REF!</v>
      </c>
      <c r="X212" s="504" t="e">
        <f t="shared" si="104"/>
        <v>#REF!</v>
      </c>
      <c r="Y212" s="504" t="e">
        <f t="shared" si="104"/>
        <v>#REF!</v>
      </c>
      <c r="Z212" s="504" t="e">
        <f t="shared" si="104"/>
        <v>#REF!</v>
      </c>
      <c r="AA212" s="504" t="e">
        <f t="shared" si="104"/>
        <v>#REF!</v>
      </c>
      <c r="AB212" s="504" t="e">
        <f t="shared" si="104"/>
        <v>#REF!</v>
      </c>
      <c r="AC212" s="504" t="e">
        <f t="shared" si="104"/>
        <v>#REF!</v>
      </c>
      <c r="AD212" s="504" t="e">
        <f t="shared" si="104"/>
        <v>#REF!</v>
      </c>
      <c r="AE212" s="504" t="e">
        <f t="shared" si="104"/>
        <v>#REF!</v>
      </c>
      <c r="AF212" s="504" t="e">
        <f t="shared" si="104"/>
        <v>#REF!</v>
      </c>
      <c r="AG212" s="504" t="e">
        <f t="shared" si="104"/>
        <v>#REF!</v>
      </c>
      <c r="AH212" s="504" t="e">
        <f t="shared" si="104"/>
        <v>#REF!</v>
      </c>
      <c r="AI212" s="504" t="e">
        <f t="shared" si="104"/>
        <v>#REF!</v>
      </c>
      <c r="AJ212" s="504" t="e">
        <f t="shared" si="104"/>
        <v>#REF!</v>
      </c>
      <c r="AK212" s="504" t="e">
        <f t="shared" si="104"/>
        <v>#REF!</v>
      </c>
      <c r="AL212" s="504" t="e">
        <f t="shared" si="104"/>
        <v>#REF!</v>
      </c>
      <c r="AM212" s="504" t="e">
        <f t="shared" si="104"/>
        <v>#REF!</v>
      </c>
      <c r="AN212" s="505" t="e">
        <f t="shared" si="104"/>
        <v>#REF!</v>
      </c>
    </row>
    <row r="213" spans="6:40" ht="12.75" outlineLevel="2">
      <c r="F213" s="483" t="s">
        <v>320</v>
      </c>
      <c r="G213" s="512" t="s">
        <v>314</v>
      </c>
      <c r="H213" s="513">
        <f t="shared" si="100"/>
        <v>-3572131.7700000033</v>
      </c>
      <c r="I213" s="513">
        <f t="shared" si="101"/>
        <v>9458456.93</v>
      </c>
      <c r="J213" s="514">
        <f t="shared" si="102"/>
        <v>-4111034.670000002</v>
      </c>
      <c r="K213" s="509">
        <f t="shared" si="103"/>
        <v>-4311426.859999999</v>
      </c>
      <c r="L213" s="510">
        <f aca="true" t="shared" si="105" ref="L213:Z213">+IF(L$225=0,"",L226-K226)</f>
        <v>-2912739.7699999996</v>
      </c>
      <c r="M213" s="510">
        <f t="shared" si="105"/>
        <v>-10459.559999998659</v>
      </c>
      <c r="N213" s="510">
        <f t="shared" si="105"/>
        <v>350000</v>
      </c>
      <c r="O213" s="510">
        <f t="shared" si="105"/>
        <v>300000</v>
      </c>
      <c r="P213" s="510">
        <f t="shared" si="105"/>
        <v>600000</v>
      </c>
      <c r="Q213" s="510">
        <f t="shared" si="105"/>
        <v>600000</v>
      </c>
      <c r="R213" s="510">
        <f t="shared" si="105"/>
        <v>500000</v>
      </c>
      <c r="S213" s="510">
        <f t="shared" si="105"/>
        <v>1500000</v>
      </c>
      <c r="T213" s="510">
        <f t="shared" si="105"/>
        <v>446631.83999999985</v>
      </c>
      <c r="U213" s="510" t="e">
        <f t="shared" si="105"/>
        <v>#REF!</v>
      </c>
      <c r="V213" s="510" t="e">
        <f t="shared" si="105"/>
        <v>#REF!</v>
      </c>
      <c r="W213" s="510" t="e">
        <f t="shared" si="105"/>
        <v>#REF!</v>
      </c>
      <c r="X213" s="510" t="e">
        <f t="shared" si="105"/>
        <v>#REF!</v>
      </c>
      <c r="Y213" s="510" t="e">
        <f t="shared" si="105"/>
        <v>#REF!</v>
      </c>
      <c r="Z213" s="510" t="e">
        <f t="shared" si="105"/>
        <v>#REF!</v>
      </c>
      <c r="AA213" s="510" t="e">
        <f t="shared" si="104"/>
        <v>#REF!</v>
      </c>
      <c r="AB213" s="510" t="e">
        <f t="shared" si="104"/>
        <v>#REF!</v>
      </c>
      <c r="AC213" s="510" t="e">
        <f t="shared" si="104"/>
        <v>#REF!</v>
      </c>
      <c r="AD213" s="510" t="e">
        <f t="shared" si="104"/>
        <v>#REF!</v>
      </c>
      <c r="AE213" s="510" t="e">
        <f t="shared" si="104"/>
        <v>#REF!</v>
      </c>
      <c r="AF213" s="510" t="e">
        <f t="shared" si="104"/>
        <v>#REF!</v>
      </c>
      <c r="AG213" s="510" t="e">
        <f t="shared" si="104"/>
        <v>#REF!</v>
      </c>
      <c r="AH213" s="510" t="e">
        <f t="shared" si="104"/>
        <v>#REF!</v>
      </c>
      <c r="AI213" s="510" t="e">
        <f t="shared" si="104"/>
        <v>#REF!</v>
      </c>
      <c r="AJ213" s="510" t="e">
        <f t="shared" si="104"/>
        <v>#REF!</v>
      </c>
      <c r="AK213" s="510" t="e">
        <f t="shared" si="104"/>
        <v>#REF!</v>
      </c>
      <c r="AL213" s="510" t="e">
        <f t="shared" si="104"/>
        <v>#REF!</v>
      </c>
      <c r="AM213" s="510" t="e">
        <f t="shared" si="104"/>
        <v>#REF!</v>
      </c>
      <c r="AN213" s="511" t="e">
        <f t="shared" si="104"/>
        <v>#REF!</v>
      </c>
    </row>
    <row r="214" spans="6:40" ht="15" customHeight="1" outlineLevel="2">
      <c r="F214" s="487" t="s">
        <v>321</v>
      </c>
      <c r="G214" s="506" t="s">
        <v>314</v>
      </c>
      <c r="H214" s="507">
        <f t="shared" si="100"/>
        <v>921571.6700000018</v>
      </c>
      <c r="I214" s="507">
        <f t="shared" si="101"/>
        <v>3089246.8000000007</v>
      </c>
      <c r="J214" s="508">
        <f t="shared" si="102"/>
        <v>-2433470.1400000006</v>
      </c>
      <c r="K214" s="509">
        <f t="shared" si="103"/>
        <v>622544.8599999994</v>
      </c>
      <c r="L214" s="510">
        <f t="shared" si="104"/>
        <v>-528640.0100000016</v>
      </c>
      <c r="M214" s="510">
        <f t="shared" si="104"/>
        <v>271064.8500000015</v>
      </c>
      <c r="N214" s="510">
        <f t="shared" si="104"/>
        <v>270000</v>
      </c>
      <c r="O214" s="510">
        <f t="shared" si="104"/>
        <v>370000</v>
      </c>
      <c r="P214" s="510">
        <f t="shared" si="104"/>
        <v>440000</v>
      </c>
      <c r="Q214" s="510">
        <f t="shared" si="104"/>
        <v>440000</v>
      </c>
      <c r="R214" s="510">
        <f t="shared" si="104"/>
        <v>470000</v>
      </c>
      <c r="S214" s="510">
        <f t="shared" si="104"/>
        <v>470000</v>
      </c>
      <c r="T214" s="510">
        <f t="shared" si="104"/>
        <v>450000</v>
      </c>
      <c r="U214" s="510" t="e">
        <f t="shared" si="104"/>
        <v>#REF!</v>
      </c>
      <c r="V214" s="510" t="e">
        <f t="shared" si="104"/>
        <v>#REF!</v>
      </c>
      <c r="W214" s="510" t="e">
        <f t="shared" si="104"/>
        <v>#REF!</v>
      </c>
      <c r="X214" s="510" t="e">
        <f t="shared" si="104"/>
        <v>#REF!</v>
      </c>
      <c r="Y214" s="510" t="e">
        <f t="shared" si="104"/>
        <v>#REF!</v>
      </c>
      <c r="Z214" s="510" t="e">
        <f t="shared" si="104"/>
        <v>#REF!</v>
      </c>
      <c r="AA214" s="510" t="e">
        <f t="shared" si="104"/>
        <v>#REF!</v>
      </c>
      <c r="AB214" s="510" t="e">
        <f t="shared" si="104"/>
        <v>#REF!</v>
      </c>
      <c r="AC214" s="510" t="e">
        <f t="shared" si="104"/>
        <v>#REF!</v>
      </c>
      <c r="AD214" s="510" t="e">
        <f t="shared" si="104"/>
        <v>#REF!</v>
      </c>
      <c r="AE214" s="510" t="e">
        <f t="shared" si="104"/>
        <v>#REF!</v>
      </c>
      <c r="AF214" s="510" t="e">
        <f t="shared" si="104"/>
        <v>#REF!</v>
      </c>
      <c r="AG214" s="510" t="e">
        <f t="shared" si="104"/>
        <v>#REF!</v>
      </c>
      <c r="AH214" s="510" t="e">
        <f t="shared" si="104"/>
        <v>#REF!</v>
      </c>
      <c r="AI214" s="510" t="e">
        <f t="shared" si="104"/>
        <v>#REF!</v>
      </c>
      <c r="AJ214" s="510" t="e">
        <f t="shared" si="104"/>
        <v>#REF!</v>
      </c>
      <c r="AK214" s="510" t="e">
        <f t="shared" si="104"/>
        <v>#REF!</v>
      </c>
      <c r="AL214" s="510" t="e">
        <f t="shared" si="104"/>
        <v>#REF!</v>
      </c>
      <c r="AM214" s="510" t="e">
        <f t="shared" si="104"/>
        <v>#REF!</v>
      </c>
      <c r="AN214" s="511" t="e">
        <f t="shared" si="104"/>
        <v>#REF!</v>
      </c>
    </row>
    <row r="215" spans="6:40" ht="12.75" outlineLevel="2">
      <c r="F215" s="472" t="s">
        <v>322</v>
      </c>
      <c r="G215" s="512" t="s">
        <v>314</v>
      </c>
      <c r="H215" s="513">
        <f t="shared" si="100"/>
        <v>921571.6700000018</v>
      </c>
      <c r="I215" s="513">
        <f t="shared" si="101"/>
        <v>3089246.8000000007</v>
      </c>
      <c r="J215" s="514">
        <f t="shared" si="102"/>
        <v>-2433470.1400000006</v>
      </c>
      <c r="K215" s="509">
        <f t="shared" si="103"/>
        <v>-1120103.3399999999</v>
      </c>
      <c r="L215" s="510">
        <f t="shared" si="104"/>
        <v>951873.0399999991</v>
      </c>
      <c r="M215" s="510">
        <f t="shared" si="104"/>
        <v>533200</v>
      </c>
      <c r="N215" s="510">
        <f t="shared" si="104"/>
        <v>270000</v>
      </c>
      <c r="O215" s="510">
        <f t="shared" si="104"/>
        <v>370000</v>
      </c>
      <c r="P215" s="510">
        <f t="shared" si="104"/>
        <v>440000</v>
      </c>
      <c r="Q215" s="510">
        <f t="shared" si="104"/>
        <v>440000</v>
      </c>
      <c r="R215" s="510">
        <f t="shared" si="104"/>
        <v>470000</v>
      </c>
      <c r="S215" s="510">
        <f t="shared" si="104"/>
        <v>470000</v>
      </c>
      <c r="T215" s="510">
        <f t="shared" si="104"/>
        <v>450000</v>
      </c>
      <c r="U215" s="510" t="e">
        <f t="shared" si="104"/>
        <v>#REF!</v>
      </c>
      <c r="V215" s="510" t="e">
        <f t="shared" si="104"/>
        <v>#REF!</v>
      </c>
      <c r="W215" s="510" t="e">
        <f t="shared" si="104"/>
        <v>#REF!</v>
      </c>
      <c r="X215" s="510" t="e">
        <f t="shared" si="104"/>
        <v>#REF!</v>
      </c>
      <c r="Y215" s="510" t="e">
        <f t="shared" si="104"/>
        <v>#REF!</v>
      </c>
      <c r="Z215" s="510" t="e">
        <f t="shared" si="104"/>
        <v>#REF!</v>
      </c>
      <c r="AA215" s="510" t="e">
        <f t="shared" si="104"/>
        <v>#REF!</v>
      </c>
      <c r="AB215" s="510" t="e">
        <f t="shared" si="104"/>
        <v>#REF!</v>
      </c>
      <c r="AC215" s="510" t="e">
        <f t="shared" si="104"/>
        <v>#REF!</v>
      </c>
      <c r="AD215" s="510" t="e">
        <f t="shared" si="104"/>
        <v>#REF!</v>
      </c>
      <c r="AE215" s="510" t="e">
        <f t="shared" si="104"/>
        <v>#REF!</v>
      </c>
      <c r="AF215" s="510" t="e">
        <f t="shared" si="104"/>
        <v>#REF!</v>
      </c>
      <c r="AG215" s="510" t="e">
        <f t="shared" si="104"/>
        <v>#REF!</v>
      </c>
      <c r="AH215" s="510" t="e">
        <f t="shared" si="104"/>
        <v>#REF!</v>
      </c>
      <c r="AI215" s="510" t="e">
        <f t="shared" si="104"/>
        <v>#REF!</v>
      </c>
      <c r="AJ215" s="510" t="e">
        <f t="shared" si="104"/>
        <v>#REF!</v>
      </c>
      <c r="AK215" s="510" t="e">
        <f t="shared" si="104"/>
        <v>#REF!</v>
      </c>
      <c r="AL215" s="510" t="e">
        <f t="shared" si="104"/>
        <v>#REF!</v>
      </c>
      <c r="AM215" s="510" t="e">
        <f t="shared" si="104"/>
        <v>#REF!</v>
      </c>
      <c r="AN215" s="511" t="e">
        <f t="shared" si="104"/>
        <v>#REF!</v>
      </c>
    </row>
    <row r="216" spans="6:40" ht="12.75" outlineLevel="2">
      <c r="F216" s="472" t="s">
        <v>323</v>
      </c>
      <c r="G216" s="512" t="s">
        <v>314</v>
      </c>
      <c r="H216" s="513">
        <f t="shared" si="100"/>
        <v>-10915139.42</v>
      </c>
      <c r="I216" s="513">
        <f t="shared" si="101"/>
        <v>12203062</v>
      </c>
      <c r="J216" s="514">
        <f t="shared" si="102"/>
        <v>-196235.99000000022</v>
      </c>
      <c r="K216" s="509">
        <f t="shared" si="103"/>
        <v>428912.9900000002</v>
      </c>
      <c r="L216" s="510">
        <f t="shared" si="104"/>
        <v>-35739</v>
      </c>
      <c r="M216" s="510">
        <f t="shared" si="104"/>
        <v>400000</v>
      </c>
      <c r="N216" s="510">
        <f t="shared" si="104"/>
        <v>200000</v>
      </c>
      <c r="O216" s="510">
        <f t="shared" si="104"/>
        <v>200000</v>
      </c>
      <c r="P216" s="510">
        <f t="shared" si="104"/>
        <v>200000</v>
      </c>
      <c r="Q216" s="510">
        <f t="shared" si="104"/>
        <v>200000</v>
      </c>
      <c r="R216" s="510">
        <f t="shared" si="104"/>
        <v>200000</v>
      </c>
      <c r="S216" s="510">
        <f t="shared" si="104"/>
        <v>200000</v>
      </c>
      <c r="T216" s="510">
        <f t="shared" si="104"/>
        <v>251000</v>
      </c>
      <c r="U216" s="510" t="e">
        <f t="shared" si="104"/>
        <v>#REF!</v>
      </c>
      <c r="V216" s="510" t="e">
        <f t="shared" si="104"/>
        <v>#REF!</v>
      </c>
      <c r="W216" s="510" t="e">
        <f t="shared" si="104"/>
        <v>#REF!</v>
      </c>
      <c r="X216" s="510" t="e">
        <f t="shared" si="104"/>
        <v>#REF!</v>
      </c>
      <c r="Y216" s="510" t="e">
        <f t="shared" si="104"/>
        <v>#REF!</v>
      </c>
      <c r="Z216" s="510" t="e">
        <f t="shared" si="104"/>
        <v>#REF!</v>
      </c>
      <c r="AA216" s="510" t="e">
        <f t="shared" si="104"/>
        <v>#REF!</v>
      </c>
      <c r="AB216" s="510" t="e">
        <f t="shared" si="104"/>
        <v>#REF!</v>
      </c>
      <c r="AC216" s="510" t="e">
        <f t="shared" si="104"/>
        <v>#REF!</v>
      </c>
      <c r="AD216" s="510" t="e">
        <f t="shared" si="104"/>
        <v>#REF!</v>
      </c>
      <c r="AE216" s="510" t="e">
        <f t="shared" si="104"/>
        <v>#REF!</v>
      </c>
      <c r="AF216" s="510" t="e">
        <f t="shared" si="104"/>
        <v>#REF!</v>
      </c>
      <c r="AG216" s="510" t="e">
        <f t="shared" si="104"/>
        <v>#REF!</v>
      </c>
      <c r="AH216" s="510" t="e">
        <f t="shared" si="104"/>
        <v>#REF!</v>
      </c>
      <c r="AI216" s="510" t="e">
        <f t="shared" si="104"/>
        <v>#REF!</v>
      </c>
      <c r="AJ216" s="510" t="e">
        <f t="shared" si="104"/>
        <v>#REF!</v>
      </c>
      <c r="AK216" s="510" t="e">
        <f t="shared" si="104"/>
        <v>#REF!</v>
      </c>
      <c r="AL216" s="510" t="e">
        <f t="shared" si="104"/>
        <v>#REF!</v>
      </c>
      <c r="AM216" s="510" t="e">
        <f t="shared" si="104"/>
        <v>#REF!</v>
      </c>
      <c r="AN216" s="511" t="e">
        <f t="shared" si="104"/>
        <v>#REF!</v>
      </c>
    </row>
    <row r="217" spans="6:40" ht="12.75" outlineLevel="2">
      <c r="F217" s="476" t="s">
        <v>324</v>
      </c>
      <c r="G217" s="515" t="s">
        <v>314</v>
      </c>
      <c r="H217" s="516">
        <f t="shared" si="100"/>
        <v>11545373.000000002</v>
      </c>
      <c r="I217" s="516">
        <f t="shared" si="101"/>
        <v>-9292825.559999999</v>
      </c>
      <c r="J217" s="517">
        <f t="shared" si="102"/>
        <v>-2093993.7200000007</v>
      </c>
      <c r="K217" s="518">
        <f t="shared" si="103"/>
        <v>-13987044.72</v>
      </c>
      <c r="L217" s="519">
        <f t="shared" si="104"/>
        <v>13618935.149999999</v>
      </c>
      <c r="M217" s="519">
        <f t="shared" si="104"/>
        <v>-28935.14999999851</v>
      </c>
      <c r="N217" s="519">
        <f t="shared" si="104"/>
        <v>300000</v>
      </c>
      <c r="O217" s="519">
        <f t="shared" si="104"/>
        <v>300000</v>
      </c>
      <c r="P217" s="519">
        <f t="shared" si="104"/>
        <v>300000</v>
      </c>
      <c r="Q217" s="519">
        <f t="shared" si="104"/>
        <v>300000</v>
      </c>
      <c r="R217" s="519">
        <f t="shared" si="104"/>
        <v>300000</v>
      </c>
      <c r="S217" s="519">
        <f t="shared" si="104"/>
        <v>309000</v>
      </c>
      <c r="T217" s="519">
        <f t="shared" si="104"/>
        <v>291000</v>
      </c>
      <c r="U217" s="519" t="e">
        <f t="shared" si="104"/>
        <v>#REF!</v>
      </c>
      <c r="V217" s="519" t="e">
        <f t="shared" si="104"/>
        <v>#REF!</v>
      </c>
      <c r="W217" s="519" t="e">
        <f t="shared" si="104"/>
        <v>#REF!</v>
      </c>
      <c r="X217" s="519" t="e">
        <f t="shared" si="104"/>
        <v>#REF!</v>
      </c>
      <c r="Y217" s="519" t="e">
        <f t="shared" si="104"/>
        <v>#REF!</v>
      </c>
      <c r="Z217" s="519" t="e">
        <f t="shared" si="104"/>
        <v>#REF!</v>
      </c>
      <c r="AA217" s="519" t="e">
        <f t="shared" si="104"/>
        <v>#REF!</v>
      </c>
      <c r="AB217" s="519" t="e">
        <f t="shared" si="104"/>
        <v>#REF!</v>
      </c>
      <c r="AC217" s="519" t="e">
        <f t="shared" si="104"/>
        <v>#REF!</v>
      </c>
      <c r="AD217" s="519" t="e">
        <f t="shared" si="104"/>
        <v>#REF!</v>
      </c>
      <c r="AE217" s="519" t="e">
        <f t="shared" si="104"/>
        <v>#REF!</v>
      </c>
      <c r="AF217" s="519" t="e">
        <f t="shared" si="104"/>
        <v>#REF!</v>
      </c>
      <c r="AG217" s="519" t="e">
        <f t="shared" si="104"/>
        <v>#REF!</v>
      </c>
      <c r="AH217" s="519" t="e">
        <f t="shared" si="104"/>
        <v>#REF!</v>
      </c>
      <c r="AI217" s="519" t="e">
        <f t="shared" si="104"/>
        <v>#REF!</v>
      </c>
      <c r="AJ217" s="519" t="e">
        <f t="shared" si="104"/>
        <v>#REF!</v>
      </c>
      <c r="AK217" s="519" t="e">
        <f t="shared" si="104"/>
        <v>#REF!</v>
      </c>
      <c r="AL217" s="519" t="e">
        <f t="shared" si="104"/>
        <v>#REF!</v>
      </c>
      <c r="AM217" s="519" t="e">
        <f t="shared" si="104"/>
        <v>#REF!</v>
      </c>
      <c r="AN217" s="520" t="e">
        <f t="shared" si="104"/>
        <v>#REF!</v>
      </c>
    </row>
    <row r="218" spans="6:40" ht="12.75" outlineLevel="1">
      <c r="F218" s="136" t="s">
        <v>326</v>
      </c>
      <c r="G218" s="433"/>
      <c r="H218" s="433"/>
      <c r="I218" s="433"/>
      <c r="J218" s="433"/>
      <c r="K218" s="437"/>
      <c r="L218" s="437"/>
      <c r="M218" s="437"/>
      <c r="N218" s="437"/>
      <c r="O218" s="437"/>
      <c r="P218" s="437"/>
      <c r="Q218" s="437"/>
      <c r="R218" s="437"/>
      <c r="S218" s="437"/>
      <c r="T218" s="437"/>
      <c r="U218" s="437"/>
      <c r="V218" s="437"/>
      <c r="W218" s="437"/>
      <c r="X218" s="437"/>
      <c r="Y218" s="437"/>
      <c r="Z218" s="437"/>
      <c r="AA218" s="437"/>
      <c r="AB218" s="437"/>
      <c r="AC218" s="437"/>
      <c r="AD218" s="437"/>
      <c r="AE218" s="437"/>
      <c r="AF218" s="437"/>
      <c r="AG218" s="437"/>
      <c r="AH218" s="437"/>
      <c r="AI218" s="437"/>
      <c r="AJ218" s="437"/>
      <c r="AK218" s="437"/>
      <c r="AL218" s="437"/>
      <c r="AM218" s="437"/>
      <c r="AN218" s="437"/>
    </row>
    <row r="219" spans="1:40" s="431" customFormat="1" ht="15" customHeight="1" outlineLevel="2">
      <c r="A219" s="457"/>
      <c r="B219" s="457"/>
      <c r="C219" s="457"/>
      <c r="D219" s="457"/>
      <c r="E219" s="457"/>
      <c r="F219" s="458" t="s">
        <v>9</v>
      </c>
      <c r="G219" s="521">
        <f>+G10</f>
        <v>31484876.01</v>
      </c>
      <c r="H219" s="522">
        <f>+H10</f>
        <v>31063442.33</v>
      </c>
      <c r="I219" s="522">
        <f>+I10</f>
        <v>35624119.93</v>
      </c>
      <c r="J219" s="523">
        <f>+J10</f>
        <v>34438420.27</v>
      </c>
      <c r="K219" s="503">
        <f aca="true" t="shared" si="106" ref="K219:AM219">+K10</f>
        <v>31943451.220000003</v>
      </c>
      <c r="L219" s="504">
        <f t="shared" si="106"/>
        <v>30722594.71</v>
      </c>
      <c r="M219" s="504">
        <f t="shared" si="106"/>
        <v>31000000</v>
      </c>
      <c r="N219" s="504">
        <f t="shared" si="106"/>
        <v>31500000</v>
      </c>
      <c r="O219" s="504">
        <f t="shared" si="106"/>
        <v>32000000</v>
      </c>
      <c r="P219" s="504">
        <f t="shared" si="106"/>
        <v>32500000</v>
      </c>
      <c r="Q219" s="504">
        <f t="shared" si="106"/>
        <v>33000000</v>
      </c>
      <c r="R219" s="504">
        <f t="shared" si="106"/>
        <v>33500000</v>
      </c>
      <c r="S219" s="504">
        <f t="shared" si="106"/>
        <v>34000000</v>
      </c>
      <c r="T219" s="504">
        <f t="shared" si="106"/>
        <v>34500000</v>
      </c>
      <c r="U219" s="504" t="e">
        <f t="shared" si="106"/>
        <v>#REF!</v>
      </c>
      <c r="V219" s="504" t="e">
        <f t="shared" si="106"/>
        <v>#REF!</v>
      </c>
      <c r="W219" s="504" t="e">
        <f t="shared" si="106"/>
        <v>#REF!</v>
      </c>
      <c r="X219" s="504" t="e">
        <f t="shared" si="106"/>
        <v>#REF!</v>
      </c>
      <c r="Y219" s="504" t="e">
        <f t="shared" si="106"/>
        <v>#REF!</v>
      </c>
      <c r="Z219" s="504" t="e">
        <f t="shared" si="106"/>
        <v>#REF!</v>
      </c>
      <c r="AA219" s="504" t="e">
        <f t="shared" si="106"/>
        <v>#REF!</v>
      </c>
      <c r="AB219" s="504" t="e">
        <f t="shared" si="106"/>
        <v>#REF!</v>
      </c>
      <c r="AC219" s="504" t="e">
        <f t="shared" si="106"/>
        <v>#REF!</v>
      </c>
      <c r="AD219" s="504" t="e">
        <f t="shared" si="106"/>
        <v>#REF!</v>
      </c>
      <c r="AE219" s="504" t="e">
        <f t="shared" si="106"/>
        <v>#REF!</v>
      </c>
      <c r="AF219" s="504" t="e">
        <f t="shared" si="106"/>
        <v>#REF!</v>
      </c>
      <c r="AG219" s="504" t="e">
        <f t="shared" si="106"/>
        <v>#REF!</v>
      </c>
      <c r="AH219" s="504" t="e">
        <f t="shared" si="106"/>
        <v>#REF!</v>
      </c>
      <c r="AI219" s="504" t="e">
        <f t="shared" si="106"/>
        <v>#REF!</v>
      </c>
      <c r="AJ219" s="504" t="e">
        <f t="shared" si="106"/>
        <v>#REF!</v>
      </c>
      <c r="AK219" s="504" t="e">
        <f t="shared" si="106"/>
        <v>#REF!</v>
      </c>
      <c r="AL219" s="504" t="e">
        <f t="shared" si="106"/>
        <v>#REF!</v>
      </c>
      <c r="AM219" s="504" t="e">
        <f t="shared" si="106"/>
        <v>#REF!</v>
      </c>
      <c r="AN219" s="505" t="e">
        <f>+AN10</f>
        <v>#REF!</v>
      </c>
    </row>
    <row r="220" spans="6:40" ht="15" customHeight="1" outlineLevel="2">
      <c r="F220" s="465" t="s">
        <v>315</v>
      </c>
      <c r="G220" s="524">
        <f>+(G10-G77-G80)</f>
        <v>31484876.01</v>
      </c>
      <c r="H220" s="525">
        <f>+(H10-H77-H80)</f>
        <v>31063442.33</v>
      </c>
      <c r="I220" s="525">
        <f>+(I10-I77-I80)</f>
        <v>35624119.93</v>
      </c>
      <c r="J220" s="526">
        <f>+(J10-J77-J80)</f>
        <v>33507029.880000003</v>
      </c>
      <c r="K220" s="509">
        <f>+(K10-K77-K80)</f>
        <v>29910421.05</v>
      </c>
      <c r="L220" s="510">
        <f aca="true" t="shared" si="107" ref="L220:AN220">+(L10-L77-L80)</f>
        <v>30500000</v>
      </c>
      <c r="M220" s="510">
        <f t="shared" si="107"/>
        <v>31000000</v>
      </c>
      <c r="N220" s="510">
        <f t="shared" si="107"/>
        <v>31500000</v>
      </c>
      <c r="O220" s="510">
        <f t="shared" si="107"/>
        <v>32000000</v>
      </c>
      <c r="P220" s="510">
        <f t="shared" si="107"/>
        <v>32500000</v>
      </c>
      <c r="Q220" s="510">
        <f t="shared" si="107"/>
        <v>33000000</v>
      </c>
      <c r="R220" s="510">
        <f t="shared" si="107"/>
        <v>33500000</v>
      </c>
      <c r="S220" s="510">
        <f t="shared" si="107"/>
        <v>34000000</v>
      </c>
      <c r="T220" s="510">
        <f t="shared" si="107"/>
        <v>34500000</v>
      </c>
      <c r="U220" s="510" t="e">
        <f t="shared" si="107"/>
        <v>#REF!</v>
      </c>
      <c r="V220" s="510" t="e">
        <f t="shared" si="107"/>
        <v>#REF!</v>
      </c>
      <c r="W220" s="510" t="e">
        <f t="shared" si="107"/>
        <v>#REF!</v>
      </c>
      <c r="X220" s="510" t="e">
        <f t="shared" si="107"/>
        <v>#REF!</v>
      </c>
      <c r="Y220" s="510" t="e">
        <f t="shared" si="107"/>
        <v>#REF!</v>
      </c>
      <c r="Z220" s="510" t="e">
        <f t="shared" si="107"/>
        <v>#REF!</v>
      </c>
      <c r="AA220" s="510" t="e">
        <f t="shared" si="107"/>
        <v>#REF!</v>
      </c>
      <c r="AB220" s="510" t="e">
        <f t="shared" si="107"/>
        <v>#REF!</v>
      </c>
      <c r="AC220" s="510" t="e">
        <f t="shared" si="107"/>
        <v>#REF!</v>
      </c>
      <c r="AD220" s="510" t="e">
        <f t="shared" si="107"/>
        <v>#REF!</v>
      </c>
      <c r="AE220" s="510" t="e">
        <f t="shared" si="107"/>
        <v>#REF!</v>
      </c>
      <c r="AF220" s="510" t="e">
        <f t="shared" si="107"/>
        <v>#REF!</v>
      </c>
      <c r="AG220" s="510" t="e">
        <f t="shared" si="107"/>
        <v>#REF!</v>
      </c>
      <c r="AH220" s="510" t="e">
        <f t="shared" si="107"/>
        <v>#REF!</v>
      </c>
      <c r="AI220" s="510" t="e">
        <f t="shared" si="107"/>
        <v>#REF!</v>
      </c>
      <c r="AJ220" s="510" t="e">
        <f t="shared" si="107"/>
        <v>#REF!</v>
      </c>
      <c r="AK220" s="510" t="e">
        <f t="shared" si="107"/>
        <v>#REF!</v>
      </c>
      <c r="AL220" s="510" t="e">
        <f t="shared" si="107"/>
        <v>#REF!</v>
      </c>
      <c r="AM220" s="510" t="e">
        <f t="shared" si="107"/>
        <v>#REF!</v>
      </c>
      <c r="AN220" s="511" t="e">
        <f t="shared" si="107"/>
        <v>#REF!</v>
      </c>
    </row>
    <row r="221" spans="6:40" ht="15" customHeight="1" outlineLevel="2">
      <c r="F221" s="472" t="s">
        <v>316</v>
      </c>
      <c r="G221" s="524">
        <f>+G11-G77</f>
        <v>25893786.18</v>
      </c>
      <c r="H221" s="525">
        <f>+H11-H77</f>
        <v>28412491.19</v>
      </c>
      <c r="I221" s="525">
        <f>+I11-I77</f>
        <v>29915724.45</v>
      </c>
      <c r="J221" s="526">
        <f>+J11-J77</f>
        <v>28486496.07</v>
      </c>
      <c r="K221" s="509">
        <f>+K11-K77</f>
        <v>29525421.05</v>
      </c>
      <c r="L221" s="510">
        <f aca="true" t="shared" si="108" ref="L221:AN221">+L11-L77</f>
        <v>30500000</v>
      </c>
      <c r="M221" s="510">
        <f t="shared" si="108"/>
        <v>31000000</v>
      </c>
      <c r="N221" s="510">
        <f t="shared" si="108"/>
        <v>31500000</v>
      </c>
      <c r="O221" s="510">
        <f t="shared" si="108"/>
        <v>32000000</v>
      </c>
      <c r="P221" s="510">
        <f t="shared" si="108"/>
        <v>32500000</v>
      </c>
      <c r="Q221" s="510">
        <f t="shared" si="108"/>
        <v>33000000</v>
      </c>
      <c r="R221" s="510">
        <f t="shared" si="108"/>
        <v>33500000</v>
      </c>
      <c r="S221" s="510">
        <f t="shared" si="108"/>
        <v>34000000</v>
      </c>
      <c r="T221" s="510">
        <f t="shared" si="108"/>
        <v>34500000</v>
      </c>
      <c r="U221" s="510" t="e">
        <f t="shared" si="108"/>
        <v>#REF!</v>
      </c>
      <c r="V221" s="510" t="e">
        <f t="shared" si="108"/>
        <v>#REF!</v>
      </c>
      <c r="W221" s="510" t="e">
        <f t="shared" si="108"/>
        <v>#REF!</v>
      </c>
      <c r="X221" s="510" t="e">
        <f t="shared" si="108"/>
        <v>#REF!</v>
      </c>
      <c r="Y221" s="510" t="e">
        <f t="shared" si="108"/>
        <v>#REF!</v>
      </c>
      <c r="Z221" s="510" t="e">
        <f t="shared" si="108"/>
        <v>#REF!</v>
      </c>
      <c r="AA221" s="510" t="e">
        <f t="shared" si="108"/>
        <v>#REF!</v>
      </c>
      <c r="AB221" s="510" t="e">
        <f t="shared" si="108"/>
        <v>#REF!</v>
      </c>
      <c r="AC221" s="510" t="e">
        <f t="shared" si="108"/>
        <v>#REF!</v>
      </c>
      <c r="AD221" s="510" t="e">
        <f t="shared" si="108"/>
        <v>#REF!</v>
      </c>
      <c r="AE221" s="510" t="e">
        <f t="shared" si="108"/>
        <v>#REF!</v>
      </c>
      <c r="AF221" s="510" t="e">
        <f t="shared" si="108"/>
        <v>#REF!</v>
      </c>
      <c r="AG221" s="510" t="e">
        <f t="shared" si="108"/>
        <v>#REF!</v>
      </c>
      <c r="AH221" s="510" t="e">
        <f t="shared" si="108"/>
        <v>#REF!</v>
      </c>
      <c r="AI221" s="510" t="e">
        <f t="shared" si="108"/>
        <v>#REF!</v>
      </c>
      <c r="AJ221" s="510" t="e">
        <f t="shared" si="108"/>
        <v>#REF!</v>
      </c>
      <c r="AK221" s="510" t="e">
        <f t="shared" si="108"/>
        <v>#REF!</v>
      </c>
      <c r="AL221" s="510" t="e">
        <f t="shared" si="108"/>
        <v>#REF!</v>
      </c>
      <c r="AM221" s="510" t="e">
        <f t="shared" si="108"/>
        <v>#REF!</v>
      </c>
      <c r="AN221" s="511" t="e">
        <f t="shared" si="108"/>
        <v>#REF!</v>
      </c>
    </row>
    <row r="222" spans="6:40" ht="15" customHeight="1" outlineLevel="2">
      <c r="F222" s="472" t="s">
        <v>317</v>
      </c>
      <c r="G222" s="524">
        <f>+G18-G80</f>
        <v>5591089.83</v>
      </c>
      <c r="H222" s="525">
        <f>+H18-H80</f>
        <v>2650951.14</v>
      </c>
      <c r="I222" s="525">
        <f>+I18-I80</f>
        <v>5708395.48</v>
      </c>
      <c r="J222" s="526">
        <f>+J18-J80</f>
        <v>5020533.81</v>
      </c>
      <c r="K222" s="509">
        <f>+K18-K80</f>
        <v>385000</v>
      </c>
      <c r="L222" s="510">
        <f aca="true" t="shared" si="109" ref="L222:AN222">+L18-L80</f>
        <v>0</v>
      </c>
      <c r="M222" s="510">
        <f t="shared" si="109"/>
        <v>0</v>
      </c>
      <c r="N222" s="510">
        <f t="shared" si="109"/>
        <v>0</v>
      </c>
      <c r="O222" s="510">
        <f t="shared" si="109"/>
        <v>0</v>
      </c>
      <c r="P222" s="510">
        <f t="shared" si="109"/>
        <v>0</v>
      </c>
      <c r="Q222" s="510">
        <f t="shared" si="109"/>
        <v>0</v>
      </c>
      <c r="R222" s="510">
        <f t="shared" si="109"/>
        <v>0</v>
      </c>
      <c r="S222" s="510">
        <f t="shared" si="109"/>
        <v>0</v>
      </c>
      <c r="T222" s="510">
        <f t="shared" si="109"/>
        <v>0</v>
      </c>
      <c r="U222" s="510" t="e">
        <f t="shared" si="109"/>
        <v>#REF!</v>
      </c>
      <c r="V222" s="510" t="e">
        <f t="shared" si="109"/>
        <v>#REF!</v>
      </c>
      <c r="W222" s="510" t="e">
        <f t="shared" si="109"/>
        <v>#REF!</v>
      </c>
      <c r="X222" s="510" t="e">
        <f t="shared" si="109"/>
        <v>#REF!</v>
      </c>
      <c r="Y222" s="510" t="e">
        <f t="shared" si="109"/>
        <v>#REF!</v>
      </c>
      <c r="Z222" s="510" t="e">
        <f t="shared" si="109"/>
        <v>#REF!</v>
      </c>
      <c r="AA222" s="510" t="e">
        <f t="shared" si="109"/>
        <v>#REF!</v>
      </c>
      <c r="AB222" s="510" t="e">
        <f t="shared" si="109"/>
        <v>#REF!</v>
      </c>
      <c r="AC222" s="510" t="e">
        <f t="shared" si="109"/>
        <v>#REF!</v>
      </c>
      <c r="AD222" s="510" t="e">
        <f t="shared" si="109"/>
        <v>#REF!</v>
      </c>
      <c r="AE222" s="510" t="e">
        <f t="shared" si="109"/>
        <v>#REF!</v>
      </c>
      <c r="AF222" s="510" t="e">
        <f t="shared" si="109"/>
        <v>#REF!</v>
      </c>
      <c r="AG222" s="510" t="e">
        <f t="shared" si="109"/>
        <v>#REF!</v>
      </c>
      <c r="AH222" s="510" t="e">
        <f t="shared" si="109"/>
        <v>#REF!</v>
      </c>
      <c r="AI222" s="510" t="e">
        <f t="shared" si="109"/>
        <v>#REF!</v>
      </c>
      <c r="AJ222" s="510" t="e">
        <f t="shared" si="109"/>
        <v>#REF!</v>
      </c>
      <c r="AK222" s="510" t="e">
        <f t="shared" si="109"/>
        <v>#REF!</v>
      </c>
      <c r="AL222" s="510" t="e">
        <f t="shared" si="109"/>
        <v>#REF!</v>
      </c>
      <c r="AM222" s="510" t="e">
        <f t="shared" si="109"/>
        <v>#REF!</v>
      </c>
      <c r="AN222" s="511" t="e">
        <f t="shared" si="109"/>
        <v>#REF!</v>
      </c>
    </row>
    <row r="223" spans="6:40" ht="12.75" outlineLevel="2">
      <c r="F223" s="472" t="s">
        <v>318</v>
      </c>
      <c r="G223" s="524">
        <f>+G18-G80-G19</f>
        <v>4253948.78</v>
      </c>
      <c r="H223" s="525">
        <f>+H18-H80-H19</f>
        <v>2624945.3800000004</v>
      </c>
      <c r="I223" s="525">
        <f>+I18-I80-I19</f>
        <v>5608395.48</v>
      </c>
      <c r="J223" s="526">
        <f>+J18-J80-J19</f>
        <v>4860645.489999999</v>
      </c>
      <c r="K223" s="509">
        <f>+K18-K80-K19</f>
        <v>260000</v>
      </c>
      <c r="L223" s="510">
        <f aca="true" t="shared" si="110" ref="L223:AN223">+L18-L80-L19</f>
        <v>0</v>
      </c>
      <c r="M223" s="510">
        <f t="shared" si="110"/>
        <v>0</v>
      </c>
      <c r="N223" s="510">
        <f t="shared" si="110"/>
        <v>0</v>
      </c>
      <c r="O223" s="510">
        <f t="shared" si="110"/>
        <v>0</v>
      </c>
      <c r="P223" s="510">
        <f t="shared" si="110"/>
        <v>0</v>
      </c>
      <c r="Q223" s="510">
        <f t="shared" si="110"/>
        <v>0</v>
      </c>
      <c r="R223" s="510">
        <f t="shared" si="110"/>
        <v>0</v>
      </c>
      <c r="S223" s="510">
        <f t="shared" si="110"/>
        <v>0</v>
      </c>
      <c r="T223" s="510">
        <f t="shared" si="110"/>
        <v>0</v>
      </c>
      <c r="U223" s="510" t="e">
        <f t="shared" si="110"/>
        <v>#REF!</v>
      </c>
      <c r="V223" s="510" t="e">
        <f t="shared" si="110"/>
        <v>#REF!</v>
      </c>
      <c r="W223" s="510" t="e">
        <f t="shared" si="110"/>
        <v>#REF!</v>
      </c>
      <c r="X223" s="510" t="e">
        <f t="shared" si="110"/>
        <v>#REF!</v>
      </c>
      <c r="Y223" s="510" t="e">
        <f t="shared" si="110"/>
        <v>#REF!</v>
      </c>
      <c r="Z223" s="510" t="e">
        <f t="shared" si="110"/>
        <v>#REF!</v>
      </c>
      <c r="AA223" s="510" t="e">
        <f t="shared" si="110"/>
        <v>#REF!</v>
      </c>
      <c r="AB223" s="510" t="e">
        <f t="shared" si="110"/>
        <v>#REF!</v>
      </c>
      <c r="AC223" s="510" t="e">
        <f t="shared" si="110"/>
        <v>#REF!</v>
      </c>
      <c r="AD223" s="510" t="e">
        <f t="shared" si="110"/>
        <v>#REF!</v>
      </c>
      <c r="AE223" s="510" t="e">
        <f t="shared" si="110"/>
        <v>#REF!</v>
      </c>
      <c r="AF223" s="510" t="e">
        <f t="shared" si="110"/>
        <v>#REF!</v>
      </c>
      <c r="AG223" s="510" t="e">
        <f t="shared" si="110"/>
        <v>#REF!</v>
      </c>
      <c r="AH223" s="510" t="e">
        <f t="shared" si="110"/>
        <v>#REF!</v>
      </c>
      <c r="AI223" s="510" t="e">
        <f t="shared" si="110"/>
        <v>#REF!</v>
      </c>
      <c r="AJ223" s="510" t="e">
        <f t="shared" si="110"/>
        <v>#REF!</v>
      </c>
      <c r="AK223" s="510" t="e">
        <f t="shared" si="110"/>
        <v>#REF!</v>
      </c>
      <c r="AL223" s="510" t="e">
        <f t="shared" si="110"/>
        <v>#REF!</v>
      </c>
      <c r="AM223" s="510" t="e">
        <f t="shared" si="110"/>
        <v>#REF!</v>
      </c>
      <c r="AN223" s="511" t="e">
        <f t="shared" si="110"/>
        <v>#REF!</v>
      </c>
    </row>
    <row r="224" spans="6:40" ht="15" customHeight="1" outlineLevel="2">
      <c r="F224" s="476" t="s">
        <v>319</v>
      </c>
      <c r="G224" s="527">
        <f>+G19</f>
        <v>1337141.05</v>
      </c>
      <c r="H224" s="528">
        <f>+H19</f>
        <v>26005.76</v>
      </c>
      <c r="I224" s="528">
        <f>+I19</f>
        <v>100000</v>
      </c>
      <c r="J224" s="529">
        <f>+J19</f>
        <v>159888.32</v>
      </c>
      <c r="K224" s="518">
        <f>+K19</f>
        <v>125000</v>
      </c>
      <c r="L224" s="519">
        <f aca="true" t="shared" si="111" ref="L224:AN224">+L19</f>
        <v>0</v>
      </c>
      <c r="M224" s="519">
        <f t="shared" si="111"/>
        <v>0</v>
      </c>
      <c r="N224" s="519">
        <f t="shared" si="111"/>
        <v>0</v>
      </c>
      <c r="O224" s="519">
        <f t="shared" si="111"/>
        <v>0</v>
      </c>
      <c r="P224" s="519">
        <f t="shared" si="111"/>
        <v>0</v>
      </c>
      <c r="Q224" s="519">
        <f t="shared" si="111"/>
        <v>0</v>
      </c>
      <c r="R224" s="519">
        <f t="shared" si="111"/>
        <v>0</v>
      </c>
      <c r="S224" s="519">
        <f t="shared" si="111"/>
        <v>0</v>
      </c>
      <c r="T224" s="519">
        <f t="shared" si="111"/>
        <v>0</v>
      </c>
      <c r="U224" s="519" t="e">
        <f t="shared" si="111"/>
        <v>#REF!</v>
      </c>
      <c r="V224" s="519" t="e">
        <f t="shared" si="111"/>
        <v>#REF!</v>
      </c>
      <c r="W224" s="519" t="e">
        <f t="shared" si="111"/>
        <v>#REF!</v>
      </c>
      <c r="X224" s="519" t="e">
        <f t="shared" si="111"/>
        <v>#REF!</v>
      </c>
      <c r="Y224" s="519" t="e">
        <f t="shared" si="111"/>
        <v>#REF!</v>
      </c>
      <c r="Z224" s="519" t="e">
        <f t="shared" si="111"/>
        <v>#REF!</v>
      </c>
      <c r="AA224" s="519" t="e">
        <f t="shared" si="111"/>
        <v>#REF!</v>
      </c>
      <c r="AB224" s="519" t="e">
        <f t="shared" si="111"/>
        <v>#REF!</v>
      </c>
      <c r="AC224" s="519" t="e">
        <f t="shared" si="111"/>
        <v>#REF!</v>
      </c>
      <c r="AD224" s="519" t="e">
        <f t="shared" si="111"/>
        <v>#REF!</v>
      </c>
      <c r="AE224" s="519" t="e">
        <f t="shared" si="111"/>
        <v>#REF!</v>
      </c>
      <c r="AF224" s="519" t="e">
        <f t="shared" si="111"/>
        <v>#REF!</v>
      </c>
      <c r="AG224" s="519" t="e">
        <f t="shared" si="111"/>
        <v>#REF!</v>
      </c>
      <c r="AH224" s="519" t="e">
        <f t="shared" si="111"/>
        <v>#REF!</v>
      </c>
      <c r="AI224" s="519" t="e">
        <f t="shared" si="111"/>
        <v>#REF!</v>
      </c>
      <c r="AJ224" s="519" t="e">
        <f t="shared" si="111"/>
        <v>#REF!</v>
      </c>
      <c r="AK224" s="519" t="e">
        <f t="shared" si="111"/>
        <v>#REF!</v>
      </c>
      <c r="AL224" s="519" t="e">
        <f t="shared" si="111"/>
        <v>#REF!</v>
      </c>
      <c r="AM224" s="519" t="e">
        <f t="shared" si="111"/>
        <v>#REF!</v>
      </c>
      <c r="AN224" s="520" t="e">
        <f t="shared" si="111"/>
        <v>#REF!</v>
      </c>
    </row>
    <row r="225" spans="1:40" s="431" customFormat="1" ht="12.75" outlineLevel="2">
      <c r="A225" s="457"/>
      <c r="B225" s="457"/>
      <c r="C225" s="457"/>
      <c r="D225" s="457"/>
      <c r="E225" s="457"/>
      <c r="F225" s="458" t="s">
        <v>30</v>
      </c>
      <c r="G225" s="521">
        <f>+G21</f>
        <v>34609335.7</v>
      </c>
      <c r="H225" s="522">
        <f>+H21</f>
        <v>31037203.93</v>
      </c>
      <c r="I225" s="522">
        <f>+I21</f>
        <v>40495660.86</v>
      </c>
      <c r="J225" s="523">
        <f>+J21</f>
        <v>36384626.19</v>
      </c>
      <c r="K225" s="503">
        <f>+K21</f>
        <v>34550862.44</v>
      </c>
      <c r="L225" s="504">
        <f aca="true" t="shared" si="112" ref="L225:AN225">+L21</f>
        <v>29422594.709999997</v>
      </c>
      <c r="M225" s="504">
        <f t="shared" si="112"/>
        <v>29150000</v>
      </c>
      <c r="N225" s="504">
        <f t="shared" si="112"/>
        <v>29500000</v>
      </c>
      <c r="O225" s="504">
        <f t="shared" si="112"/>
        <v>29800000</v>
      </c>
      <c r="P225" s="504">
        <f t="shared" si="112"/>
        <v>30400000</v>
      </c>
      <c r="Q225" s="504">
        <f t="shared" si="112"/>
        <v>31000000</v>
      </c>
      <c r="R225" s="504">
        <f t="shared" si="112"/>
        <v>31500000</v>
      </c>
      <c r="S225" s="504">
        <f t="shared" si="112"/>
        <v>33000000</v>
      </c>
      <c r="T225" s="504">
        <f t="shared" si="112"/>
        <v>33446631.84</v>
      </c>
      <c r="U225" s="504" t="e">
        <f t="shared" si="112"/>
        <v>#REF!</v>
      </c>
      <c r="V225" s="504" t="e">
        <f t="shared" si="112"/>
        <v>#REF!</v>
      </c>
      <c r="W225" s="504" t="e">
        <f t="shared" si="112"/>
        <v>#REF!</v>
      </c>
      <c r="X225" s="504" t="e">
        <f t="shared" si="112"/>
        <v>#REF!</v>
      </c>
      <c r="Y225" s="504" t="e">
        <f t="shared" si="112"/>
        <v>#REF!</v>
      </c>
      <c r="Z225" s="504" t="e">
        <f t="shared" si="112"/>
        <v>#REF!</v>
      </c>
      <c r="AA225" s="504" t="e">
        <f t="shared" si="112"/>
        <v>#REF!</v>
      </c>
      <c r="AB225" s="504" t="e">
        <f t="shared" si="112"/>
        <v>#REF!</v>
      </c>
      <c r="AC225" s="504" t="e">
        <f t="shared" si="112"/>
        <v>#REF!</v>
      </c>
      <c r="AD225" s="504" t="e">
        <f t="shared" si="112"/>
        <v>#REF!</v>
      </c>
      <c r="AE225" s="504" t="e">
        <f t="shared" si="112"/>
        <v>#REF!</v>
      </c>
      <c r="AF225" s="504" t="e">
        <f t="shared" si="112"/>
        <v>#REF!</v>
      </c>
      <c r="AG225" s="504" t="e">
        <f t="shared" si="112"/>
        <v>#REF!</v>
      </c>
      <c r="AH225" s="504" t="e">
        <f t="shared" si="112"/>
        <v>#REF!</v>
      </c>
      <c r="AI225" s="504" t="e">
        <f t="shared" si="112"/>
        <v>#REF!</v>
      </c>
      <c r="AJ225" s="504" t="e">
        <f t="shared" si="112"/>
        <v>#REF!</v>
      </c>
      <c r="AK225" s="504" t="e">
        <f t="shared" si="112"/>
        <v>#REF!</v>
      </c>
      <c r="AL225" s="504" t="e">
        <f t="shared" si="112"/>
        <v>#REF!</v>
      </c>
      <c r="AM225" s="504" t="e">
        <f t="shared" si="112"/>
        <v>#REF!</v>
      </c>
      <c r="AN225" s="505" t="e">
        <f t="shared" si="112"/>
        <v>#REF!</v>
      </c>
    </row>
    <row r="226" spans="6:40" ht="12.75" outlineLevel="2">
      <c r="F226" s="483" t="s">
        <v>320</v>
      </c>
      <c r="G226" s="524">
        <f>+G21-G83-G86</f>
        <v>34609335.7</v>
      </c>
      <c r="H226" s="525">
        <f>+H21-H83-H86</f>
        <v>31037203.93</v>
      </c>
      <c r="I226" s="525">
        <f>+I21-I83-I86</f>
        <v>40495660.86</v>
      </c>
      <c r="J226" s="526">
        <f>+J21-J83-J86</f>
        <v>36384626.19</v>
      </c>
      <c r="K226" s="509">
        <f>+K21-K83-K86</f>
        <v>32073199.33</v>
      </c>
      <c r="L226" s="510">
        <f aca="true" t="shared" si="113" ref="L226:AN226">+L21-L83-L86</f>
        <v>29160459.56</v>
      </c>
      <c r="M226" s="510">
        <f t="shared" si="113"/>
        <v>29150000</v>
      </c>
      <c r="N226" s="510">
        <f t="shared" si="113"/>
        <v>29500000</v>
      </c>
      <c r="O226" s="510">
        <f t="shared" si="113"/>
        <v>29800000</v>
      </c>
      <c r="P226" s="510">
        <f t="shared" si="113"/>
        <v>30400000</v>
      </c>
      <c r="Q226" s="510">
        <f t="shared" si="113"/>
        <v>31000000</v>
      </c>
      <c r="R226" s="510">
        <f t="shared" si="113"/>
        <v>31500000</v>
      </c>
      <c r="S226" s="510">
        <f t="shared" si="113"/>
        <v>33000000</v>
      </c>
      <c r="T226" s="510">
        <f t="shared" si="113"/>
        <v>33446631.84</v>
      </c>
      <c r="U226" s="510" t="e">
        <f t="shared" si="113"/>
        <v>#REF!</v>
      </c>
      <c r="V226" s="510" t="e">
        <f t="shared" si="113"/>
        <v>#REF!</v>
      </c>
      <c r="W226" s="510" t="e">
        <f t="shared" si="113"/>
        <v>#REF!</v>
      </c>
      <c r="X226" s="510" t="e">
        <f t="shared" si="113"/>
        <v>#REF!</v>
      </c>
      <c r="Y226" s="510" t="e">
        <f t="shared" si="113"/>
        <v>#REF!</v>
      </c>
      <c r="Z226" s="510" t="e">
        <f t="shared" si="113"/>
        <v>#REF!</v>
      </c>
      <c r="AA226" s="510" t="e">
        <f t="shared" si="113"/>
        <v>#REF!</v>
      </c>
      <c r="AB226" s="510" t="e">
        <f t="shared" si="113"/>
        <v>#REF!</v>
      </c>
      <c r="AC226" s="510" t="e">
        <f t="shared" si="113"/>
        <v>#REF!</v>
      </c>
      <c r="AD226" s="510" t="e">
        <f t="shared" si="113"/>
        <v>#REF!</v>
      </c>
      <c r="AE226" s="510" t="e">
        <f t="shared" si="113"/>
        <v>#REF!</v>
      </c>
      <c r="AF226" s="510" t="e">
        <f t="shared" si="113"/>
        <v>#REF!</v>
      </c>
      <c r="AG226" s="510" t="e">
        <f t="shared" si="113"/>
        <v>#REF!</v>
      </c>
      <c r="AH226" s="510" t="e">
        <f t="shared" si="113"/>
        <v>#REF!</v>
      </c>
      <c r="AI226" s="510" t="e">
        <f t="shared" si="113"/>
        <v>#REF!</v>
      </c>
      <c r="AJ226" s="510" t="e">
        <f t="shared" si="113"/>
        <v>#REF!</v>
      </c>
      <c r="AK226" s="510" t="e">
        <f t="shared" si="113"/>
        <v>#REF!</v>
      </c>
      <c r="AL226" s="510" t="e">
        <f t="shared" si="113"/>
        <v>#REF!</v>
      </c>
      <c r="AM226" s="510" t="e">
        <f t="shared" si="113"/>
        <v>#REF!</v>
      </c>
      <c r="AN226" s="511" t="e">
        <f t="shared" si="113"/>
        <v>#REF!</v>
      </c>
    </row>
    <row r="227" spans="1:40" s="431" customFormat="1" ht="15" customHeight="1" outlineLevel="2">
      <c r="A227" s="457"/>
      <c r="B227" s="457"/>
      <c r="C227" s="457"/>
      <c r="D227" s="457"/>
      <c r="E227" s="457"/>
      <c r="F227" s="487" t="s">
        <v>321</v>
      </c>
      <c r="G227" s="530">
        <f>+G22</f>
        <v>25207681.97</v>
      </c>
      <c r="H227" s="531">
        <f>+H22</f>
        <v>26129253.64</v>
      </c>
      <c r="I227" s="531">
        <f>+I22</f>
        <v>29218500.44</v>
      </c>
      <c r="J227" s="532">
        <f>+J22</f>
        <v>26785030.3</v>
      </c>
      <c r="K227" s="533">
        <f>+K22</f>
        <v>27407575.16</v>
      </c>
      <c r="L227" s="534">
        <f aca="true" t="shared" si="114" ref="L227:AN227">+L22</f>
        <v>26878935.15</v>
      </c>
      <c r="M227" s="534">
        <f t="shared" si="114"/>
        <v>27150000</v>
      </c>
      <c r="N227" s="534">
        <f t="shared" si="114"/>
        <v>27420000</v>
      </c>
      <c r="O227" s="534">
        <f t="shared" si="114"/>
        <v>27790000</v>
      </c>
      <c r="P227" s="534">
        <f t="shared" si="114"/>
        <v>28230000</v>
      </c>
      <c r="Q227" s="534">
        <f t="shared" si="114"/>
        <v>28670000</v>
      </c>
      <c r="R227" s="534">
        <f t="shared" si="114"/>
        <v>29140000</v>
      </c>
      <c r="S227" s="534">
        <f t="shared" si="114"/>
        <v>29610000</v>
      </c>
      <c r="T227" s="534">
        <f t="shared" si="114"/>
        <v>30060000</v>
      </c>
      <c r="U227" s="534" t="e">
        <f t="shared" si="114"/>
        <v>#REF!</v>
      </c>
      <c r="V227" s="534" t="e">
        <f t="shared" si="114"/>
        <v>#REF!</v>
      </c>
      <c r="W227" s="534" t="e">
        <f t="shared" si="114"/>
        <v>#REF!</v>
      </c>
      <c r="X227" s="534" t="e">
        <f t="shared" si="114"/>
        <v>#REF!</v>
      </c>
      <c r="Y227" s="534" t="e">
        <f t="shared" si="114"/>
        <v>#REF!</v>
      </c>
      <c r="Z227" s="534" t="e">
        <f t="shared" si="114"/>
        <v>#REF!</v>
      </c>
      <c r="AA227" s="534" t="e">
        <f t="shared" si="114"/>
        <v>#REF!</v>
      </c>
      <c r="AB227" s="534" t="e">
        <f t="shared" si="114"/>
        <v>#REF!</v>
      </c>
      <c r="AC227" s="534" t="e">
        <f t="shared" si="114"/>
        <v>#REF!</v>
      </c>
      <c r="AD227" s="534" t="e">
        <f t="shared" si="114"/>
        <v>#REF!</v>
      </c>
      <c r="AE227" s="534" t="e">
        <f t="shared" si="114"/>
        <v>#REF!</v>
      </c>
      <c r="AF227" s="534" t="e">
        <f t="shared" si="114"/>
        <v>#REF!</v>
      </c>
      <c r="AG227" s="534" t="e">
        <f t="shared" si="114"/>
        <v>#REF!</v>
      </c>
      <c r="AH227" s="534" t="e">
        <f t="shared" si="114"/>
        <v>#REF!</v>
      </c>
      <c r="AI227" s="534" t="e">
        <f t="shared" si="114"/>
        <v>#REF!</v>
      </c>
      <c r="AJ227" s="534" t="e">
        <f t="shared" si="114"/>
        <v>#REF!</v>
      </c>
      <c r="AK227" s="534" t="e">
        <f t="shared" si="114"/>
        <v>#REF!</v>
      </c>
      <c r="AL227" s="534" t="e">
        <f t="shared" si="114"/>
        <v>#REF!</v>
      </c>
      <c r="AM227" s="534" t="e">
        <f t="shared" si="114"/>
        <v>#REF!</v>
      </c>
      <c r="AN227" s="535" t="e">
        <f t="shared" si="114"/>
        <v>#REF!</v>
      </c>
    </row>
    <row r="228" spans="6:40" ht="12.75" outlineLevel="2">
      <c r="F228" s="472" t="s">
        <v>322</v>
      </c>
      <c r="G228" s="524">
        <f>+G22-G83</f>
        <v>25207681.97</v>
      </c>
      <c r="H228" s="525">
        <f>+H22-H83</f>
        <v>26129253.64</v>
      </c>
      <c r="I228" s="525">
        <f>+I22-I83</f>
        <v>29218500.44</v>
      </c>
      <c r="J228" s="526">
        <f>+J22-J83</f>
        <v>26785030.3</v>
      </c>
      <c r="K228" s="509">
        <f>+K22-K83</f>
        <v>25664926.96</v>
      </c>
      <c r="L228" s="510">
        <f aca="true" t="shared" si="115" ref="L228:AN228">+L22-L83</f>
        <v>26616800</v>
      </c>
      <c r="M228" s="510">
        <f t="shared" si="115"/>
        <v>27150000</v>
      </c>
      <c r="N228" s="510">
        <f t="shared" si="115"/>
        <v>27420000</v>
      </c>
      <c r="O228" s="510">
        <f t="shared" si="115"/>
        <v>27790000</v>
      </c>
      <c r="P228" s="510">
        <f t="shared" si="115"/>
        <v>28230000</v>
      </c>
      <c r="Q228" s="510">
        <f t="shared" si="115"/>
        <v>28670000</v>
      </c>
      <c r="R228" s="510">
        <f t="shared" si="115"/>
        <v>29140000</v>
      </c>
      <c r="S228" s="510">
        <f t="shared" si="115"/>
        <v>29610000</v>
      </c>
      <c r="T228" s="510">
        <f t="shared" si="115"/>
        <v>30060000</v>
      </c>
      <c r="U228" s="510" t="e">
        <f t="shared" si="115"/>
        <v>#REF!</v>
      </c>
      <c r="V228" s="510" t="e">
        <f t="shared" si="115"/>
        <v>#REF!</v>
      </c>
      <c r="W228" s="510" t="e">
        <f t="shared" si="115"/>
        <v>#REF!</v>
      </c>
      <c r="X228" s="510" t="e">
        <f t="shared" si="115"/>
        <v>#REF!</v>
      </c>
      <c r="Y228" s="510" t="e">
        <f t="shared" si="115"/>
        <v>#REF!</v>
      </c>
      <c r="Z228" s="510" t="e">
        <f t="shared" si="115"/>
        <v>#REF!</v>
      </c>
      <c r="AA228" s="510" t="e">
        <f t="shared" si="115"/>
        <v>#REF!</v>
      </c>
      <c r="AB228" s="510" t="e">
        <f t="shared" si="115"/>
        <v>#REF!</v>
      </c>
      <c r="AC228" s="510" t="e">
        <f t="shared" si="115"/>
        <v>#REF!</v>
      </c>
      <c r="AD228" s="510" t="e">
        <f t="shared" si="115"/>
        <v>#REF!</v>
      </c>
      <c r="AE228" s="510" t="e">
        <f t="shared" si="115"/>
        <v>#REF!</v>
      </c>
      <c r="AF228" s="510" t="e">
        <f t="shared" si="115"/>
        <v>#REF!</v>
      </c>
      <c r="AG228" s="510" t="e">
        <f t="shared" si="115"/>
        <v>#REF!</v>
      </c>
      <c r="AH228" s="510" t="e">
        <f t="shared" si="115"/>
        <v>#REF!</v>
      </c>
      <c r="AI228" s="510" t="e">
        <f t="shared" si="115"/>
        <v>#REF!</v>
      </c>
      <c r="AJ228" s="510" t="e">
        <f t="shared" si="115"/>
        <v>#REF!</v>
      </c>
      <c r="AK228" s="510" t="e">
        <f t="shared" si="115"/>
        <v>#REF!</v>
      </c>
      <c r="AL228" s="510" t="e">
        <f t="shared" si="115"/>
        <v>#REF!</v>
      </c>
      <c r="AM228" s="510" t="e">
        <f t="shared" si="115"/>
        <v>#REF!</v>
      </c>
      <c r="AN228" s="511" t="e">
        <f t="shared" si="115"/>
        <v>#REF!</v>
      </c>
    </row>
    <row r="229" spans="6:40" ht="12.75" outlineLevel="2">
      <c r="F229" s="472" t="s">
        <v>323</v>
      </c>
      <c r="G229" s="524">
        <f>+G68</f>
        <v>10915139.42</v>
      </c>
      <c r="H229" s="525">
        <f>+H68</f>
        <v>0</v>
      </c>
      <c r="I229" s="525">
        <f>+I68</f>
        <v>12203062</v>
      </c>
      <c r="J229" s="526">
        <f>+J68</f>
        <v>12006826.01</v>
      </c>
      <c r="K229" s="509">
        <f>+K68</f>
        <v>12435739</v>
      </c>
      <c r="L229" s="510">
        <f aca="true" t="shared" si="116" ref="L229:AN229">+L68</f>
        <v>12400000</v>
      </c>
      <c r="M229" s="510">
        <f t="shared" si="116"/>
        <v>12800000</v>
      </c>
      <c r="N229" s="510">
        <f t="shared" si="116"/>
        <v>13000000</v>
      </c>
      <c r="O229" s="510">
        <f t="shared" si="116"/>
        <v>13200000</v>
      </c>
      <c r="P229" s="510">
        <f t="shared" si="116"/>
        <v>13400000</v>
      </c>
      <c r="Q229" s="510">
        <f t="shared" si="116"/>
        <v>13600000</v>
      </c>
      <c r="R229" s="510">
        <f t="shared" si="116"/>
        <v>13800000</v>
      </c>
      <c r="S229" s="510">
        <f t="shared" si="116"/>
        <v>14000000</v>
      </c>
      <c r="T229" s="510">
        <f t="shared" si="116"/>
        <v>14251000</v>
      </c>
      <c r="U229" s="510" t="e">
        <f t="shared" si="116"/>
        <v>#REF!</v>
      </c>
      <c r="V229" s="510" t="e">
        <f t="shared" si="116"/>
        <v>#REF!</v>
      </c>
      <c r="W229" s="510" t="e">
        <f t="shared" si="116"/>
        <v>#REF!</v>
      </c>
      <c r="X229" s="510" t="e">
        <f t="shared" si="116"/>
        <v>#REF!</v>
      </c>
      <c r="Y229" s="510" t="e">
        <f t="shared" si="116"/>
        <v>#REF!</v>
      </c>
      <c r="Z229" s="510" t="e">
        <f t="shared" si="116"/>
        <v>#REF!</v>
      </c>
      <c r="AA229" s="510" t="e">
        <f t="shared" si="116"/>
        <v>#REF!</v>
      </c>
      <c r="AB229" s="510" t="e">
        <f t="shared" si="116"/>
        <v>#REF!</v>
      </c>
      <c r="AC229" s="510" t="e">
        <f t="shared" si="116"/>
        <v>#REF!</v>
      </c>
      <c r="AD229" s="510" t="e">
        <f t="shared" si="116"/>
        <v>#REF!</v>
      </c>
      <c r="AE229" s="510" t="e">
        <f t="shared" si="116"/>
        <v>#REF!</v>
      </c>
      <c r="AF229" s="510" t="e">
        <f t="shared" si="116"/>
        <v>#REF!</v>
      </c>
      <c r="AG229" s="510" t="e">
        <f t="shared" si="116"/>
        <v>#REF!</v>
      </c>
      <c r="AH229" s="510" t="e">
        <f t="shared" si="116"/>
        <v>#REF!</v>
      </c>
      <c r="AI229" s="510" t="e">
        <f t="shared" si="116"/>
        <v>#REF!</v>
      </c>
      <c r="AJ229" s="510" t="e">
        <f t="shared" si="116"/>
        <v>#REF!</v>
      </c>
      <c r="AK229" s="510" t="e">
        <f t="shared" si="116"/>
        <v>#REF!</v>
      </c>
      <c r="AL229" s="510" t="e">
        <f t="shared" si="116"/>
        <v>#REF!</v>
      </c>
      <c r="AM229" s="510" t="e">
        <f t="shared" si="116"/>
        <v>#REF!</v>
      </c>
      <c r="AN229" s="511" t="e">
        <f t="shared" si="116"/>
        <v>#REF!</v>
      </c>
    </row>
    <row r="230" spans="6:40" ht="12.75" outlineLevel="2">
      <c r="F230" s="476" t="s">
        <v>324</v>
      </c>
      <c r="G230" s="527">
        <f>+G22-G23-G26-G68-G69</f>
        <v>13828490.999999998</v>
      </c>
      <c r="H230" s="528">
        <f>+H22-H23-H26-H68-H69</f>
        <v>25373864</v>
      </c>
      <c r="I230" s="528">
        <f>+I22-I23-I26-I68-I69</f>
        <v>16081038.440000001</v>
      </c>
      <c r="J230" s="529">
        <f>+J22-J23-J26-J68-J69</f>
        <v>13987044.72</v>
      </c>
      <c r="K230" s="518">
        <f>+K22-K23-K26-K68-K69</f>
        <v>0</v>
      </c>
      <c r="L230" s="519">
        <f aca="true" t="shared" si="117" ref="L230:AN230">+L22-L23-L26-L68-L69</f>
        <v>13618935.149999999</v>
      </c>
      <c r="M230" s="519">
        <f t="shared" si="117"/>
        <v>13590000</v>
      </c>
      <c r="N230" s="519">
        <f t="shared" si="117"/>
        <v>13890000</v>
      </c>
      <c r="O230" s="519">
        <f t="shared" si="117"/>
        <v>14190000</v>
      </c>
      <c r="P230" s="519">
        <f t="shared" si="117"/>
        <v>14490000</v>
      </c>
      <c r="Q230" s="519">
        <f t="shared" si="117"/>
        <v>14790000</v>
      </c>
      <c r="R230" s="519">
        <f t="shared" si="117"/>
        <v>15090000</v>
      </c>
      <c r="S230" s="519">
        <f t="shared" si="117"/>
        <v>15399000</v>
      </c>
      <c r="T230" s="519">
        <f t="shared" si="117"/>
        <v>15690000</v>
      </c>
      <c r="U230" s="519" t="e">
        <f t="shared" si="117"/>
        <v>#REF!</v>
      </c>
      <c r="V230" s="519" t="e">
        <f t="shared" si="117"/>
        <v>#REF!</v>
      </c>
      <c r="W230" s="519" t="e">
        <f t="shared" si="117"/>
        <v>#REF!</v>
      </c>
      <c r="X230" s="519" t="e">
        <f t="shared" si="117"/>
        <v>#REF!</v>
      </c>
      <c r="Y230" s="519" t="e">
        <f t="shared" si="117"/>
        <v>#REF!</v>
      </c>
      <c r="Z230" s="519" t="e">
        <f t="shared" si="117"/>
        <v>#REF!</v>
      </c>
      <c r="AA230" s="519" t="e">
        <f t="shared" si="117"/>
        <v>#REF!</v>
      </c>
      <c r="AB230" s="519" t="e">
        <f t="shared" si="117"/>
        <v>#REF!</v>
      </c>
      <c r="AC230" s="519" t="e">
        <f t="shared" si="117"/>
        <v>#REF!</v>
      </c>
      <c r="AD230" s="519" t="e">
        <f t="shared" si="117"/>
        <v>#REF!</v>
      </c>
      <c r="AE230" s="519" t="e">
        <f t="shared" si="117"/>
        <v>#REF!</v>
      </c>
      <c r="AF230" s="519" t="e">
        <f t="shared" si="117"/>
        <v>#REF!</v>
      </c>
      <c r="AG230" s="519" t="e">
        <f t="shared" si="117"/>
        <v>#REF!</v>
      </c>
      <c r="AH230" s="519" t="e">
        <f t="shared" si="117"/>
        <v>#REF!</v>
      </c>
      <c r="AI230" s="519" t="e">
        <f t="shared" si="117"/>
        <v>#REF!</v>
      </c>
      <c r="AJ230" s="519" t="e">
        <f t="shared" si="117"/>
        <v>#REF!</v>
      </c>
      <c r="AK230" s="519" t="e">
        <f t="shared" si="117"/>
        <v>#REF!</v>
      </c>
      <c r="AL230" s="519" t="e">
        <f t="shared" si="117"/>
        <v>#REF!</v>
      </c>
      <c r="AM230" s="519" t="e">
        <f t="shared" si="117"/>
        <v>#REF!</v>
      </c>
      <c r="AN230" s="520" t="e">
        <f t="shared" si="117"/>
        <v>#REF!</v>
      </c>
    </row>
    <row r="231" spans="6:40" ht="12.75" outlineLevel="2">
      <c r="F231" s="536"/>
      <c r="G231" s="537"/>
      <c r="H231" s="537"/>
      <c r="I231" s="537"/>
      <c r="J231" s="537"/>
      <c r="K231" s="538"/>
      <c r="L231" s="538"/>
      <c r="M231" s="538"/>
      <c r="N231" s="538"/>
      <c r="O231" s="538"/>
      <c r="P231" s="538"/>
      <c r="Q231" s="538"/>
      <c r="R231" s="538"/>
      <c r="S231" s="538"/>
      <c r="T231" s="538"/>
      <c r="U231" s="538"/>
      <c r="V231" s="538"/>
      <c r="W231" s="538"/>
      <c r="X231" s="538"/>
      <c r="Y231" s="538"/>
      <c r="Z231" s="538"/>
      <c r="AA231" s="538"/>
      <c r="AB231" s="538"/>
      <c r="AC231" s="538"/>
      <c r="AD231" s="538"/>
      <c r="AE231" s="538"/>
      <c r="AF231" s="538"/>
      <c r="AG231" s="538"/>
      <c r="AH231" s="538"/>
      <c r="AI231" s="538"/>
      <c r="AJ231" s="538"/>
      <c r="AK231" s="538"/>
      <c r="AL231" s="538"/>
      <c r="AM231" s="538"/>
      <c r="AN231" s="538"/>
    </row>
    <row r="232" spans="6:40" ht="12.75" outlineLevel="1">
      <c r="F232" s="136" t="s">
        <v>327</v>
      </c>
      <c r="G232" s="433"/>
      <c r="H232" s="433"/>
      <c r="I232" s="433"/>
      <c r="J232" s="433"/>
      <c r="K232" s="430"/>
      <c r="L232" s="430"/>
      <c r="M232" s="430"/>
      <c r="N232" s="430"/>
      <c r="O232" s="430"/>
      <c r="P232" s="430"/>
      <c r="Q232" s="430"/>
      <c r="R232" s="430"/>
      <c r="S232" s="430"/>
      <c r="T232" s="430"/>
      <c r="U232" s="430"/>
      <c r="V232" s="430"/>
      <c r="W232" s="430"/>
      <c r="X232" s="430"/>
      <c r="Y232" s="430"/>
      <c r="Z232" s="430"/>
      <c r="AA232" s="430"/>
      <c r="AB232" s="430"/>
      <c r="AC232" s="430"/>
      <c r="AD232" s="430"/>
      <c r="AE232" s="430"/>
      <c r="AF232" s="430"/>
      <c r="AG232" s="430"/>
      <c r="AH232" s="430"/>
      <c r="AI232" s="430"/>
      <c r="AJ232" s="430"/>
      <c r="AK232" s="430"/>
      <c r="AL232" s="430"/>
      <c r="AM232" s="430"/>
      <c r="AN232" s="430"/>
    </row>
    <row r="233" spans="1:40" s="315" customFormat="1" ht="12.75" outlineLevel="2">
      <c r="A233" s="539"/>
      <c r="B233" s="539"/>
      <c r="C233" s="539"/>
      <c r="D233" s="539"/>
      <c r="E233" s="539"/>
      <c r="F233" s="540" t="s">
        <v>9</v>
      </c>
      <c r="G233" s="541" t="s">
        <v>314</v>
      </c>
      <c r="H233" s="542">
        <f aca="true" t="shared" si="118" ref="H233:AN233">+IF(G10&lt;&gt;0,H10/G10,0)</f>
        <v>0.9866147263890717</v>
      </c>
      <c r="I233" s="542">
        <f t="shared" si="118"/>
        <v>1.1468181649525513</v>
      </c>
      <c r="J233" s="543">
        <f t="shared" si="118"/>
        <v>0.9667163802971175</v>
      </c>
      <c r="K233" s="544">
        <f t="shared" si="118"/>
        <v>0.9275527439865348</v>
      </c>
      <c r="L233" s="545">
        <f t="shared" si="118"/>
        <v>0.9617806948412758</v>
      </c>
      <c r="M233" s="545">
        <f t="shared" si="118"/>
        <v>1.009029357468616</v>
      </c>
      <c r="N233" s="545">
        <f t="shared" si="118"/>
        <v>1.0161290322580645</v>
      </c>
      <c r="O233" s="545">
        <f t="shared" si="118"/>
        <v>1.0158730158730158</v>
      </c>
      <c r="P233" s="545">
        <f t="shared" si="118"/>
        <v>1.015625</v>
      </c>
      <c r="Q233" s="545">
        <f t="shared" si="118"/>
        <v>1.0153846153846153</v>
      </c>
      <c r="R233" s="545">
        <f t="shared" si="118"/>
        <v>1.0151515151515151</v>
      </c>
      <c r="S233" s="545">
        <f t="shared" si="118"/>
        <v>1.0149253731343284</v>
      </c>
      <c r="T233" s="545">
        <f t="shared" si="118"/>
        <v>1.0147058823529411</v>
      </c>
      <c r="U233" s="545" t="e">
        <f t="shared" si="118"/>
        <v>#REF!</v>
      </c>
      <c r="V233" s="545" t="e">
        <f t="shared" si="118"/>
        <v>#REF!</v>
      </c>
      <c r="W233" s="545" t="e">
        <f t="shared" si="118"/>
        <v>#REF!</v>
      </c>
      <c r="X233" s="545" t="e">
        <f t="shared" si="118"/>
        <v>#REF!</v>
      </c>
      <c r="Y233" s="545" t="e">
        <f t="shared" si="118"/>
        <v>#REF!</v>
      </c>
      <c r="Z233" s="545" t="e">
        <f t="shared" si="118"/>
        <v>#REF!</v>
      </c>
      <c r="AA233" s="545" t="e">
        <f t="shared" si="118"/>
        <v>#REF!</v>
      </c>
      <c r="AB233" s="545" t="e">
        <f t="shared" si="118"/>
        <v>#REF!</v>
      </c>
      <c r="AC233" s="545" t="e">
        <f t="shared" si="118"/>
        <v>#REF!</v>
      </c>
      <c r="AD233" s="545" t="e">
        <f t="shared" si="118"/>
        <v>#REF!</v>
      </c>
      <c r="AE233" s="545" t="e">
        <f t="shared" si="118"/>
        <v>#REF!</v>
      </c>
      <c r="AF233" s="545" t="e">
        <f t="shared" si="118"/>
        <v>#REF!</v>
      </c>
      <c r="AG233" s="545" t="e">
        <f t="shared" si="118"/>
        <v>#REF!</v>
      </c>
      <c r="AH233" s="545" t="e">
        <f t="shared" si="118"/>
        <v>#REF!</v>
      </c>
      <c r="AI233" s="545" t="e">
        <f t="shared" si="118"/>
        <v>#REF!</v>
      </c>
      <c r="AJ233" s="545" t="e">
        <f t="shared" si="118"/>
        <v>#REF!</v>
      </c>
      <c r="AK233" s="545" t="e">
        <f t="shared" si="118"/>
        <v>#REF!</v>
      </c>
      <c r="AL233" s="545" t="e">
        <f t="shared" si="118"/>
        <v>#REF!</v>
      </c>
      <c r="AM233" s="545" t="e">
        <f t="shared" si="118"/>
        <v>#REF!</v>
      </c>
      <c r="AN233" s="546" t="e">
        <f t="shared" si="118"/>
        <v>#REF!</v>
      </c>
    </row>
    <row r="234" spans="6:40" ht="15" customHeight="1" outlineLevel="2">
      <c r="F234" s="547" t="s">
        <v>11</v>
      </c>
      <c r="G234" s="548" t="s">
        <v>314</v>
      </c>
      <c r="H234" s="549">
        <f aca="true" t="shared" si="119" ref="H234:AN234">+IF(G11&lt;&gt;0,H11/G11,0)</f>
        <v>1.0972706344484073</v>
      </c>
      <c r="I234" s="549">
        <f t="shared" si="119"/>
        <v>1.0529074782618524</v>
      </c>
      <c r="J234" s="550">
        <f t="shared" si="119"/>
        <v>0.9833586517073298</v>
      </c>
      <c r="K234" s="551">
        <f t="shared" si="119"/>
        <v>1.0547479524808798</v>
      </c>
      <c r="L234" s="552">
        <f t="shared" si="119"/>
        <v>0.9901425709087768</v>
      </c>
      <c r="M234" s="552">
        <f t="shared" si="119"/>
        <v>1.009029357468616</v>
      </c>
      <c r="N234" s="552">
        <f t="shared" si="119"/>
        <v>1.0161290322580645</v>
      </c>
      <c r="O234" s="552">
        <f t="shared" si="119"/>
        <v>1.0158730158730158</v>
      </c>
      <c r="P234" s="552">
        <f t="shared" si="119"/>
        <v>1.015625</v>
      </c>
      <c r="Q234" s="552">
        <f t="shared" si="119"/>
        <v>1.0153846153846153</v>
      </c>
      <c r="R234" s="552">
        <f t="shared" si="119"/>
        <v>1.0151515151515151</v>
      </c>
      <c r="S234" s="552">
        <f t="shared" si="119"/>
        <v>1.0149253731343284</v>
      </c>
      <c r="T234" s="552">
        <f t="shared" si="119"/>
        <v>1.0147058823529411</v>
      </c>
      <c r="U234" s="552" t="e">
        <f t="shared" si="119"/>
        <v>#REF!</v>
      </c>
      <c r="V234" s="552" t="e">
        <f t="shared" si="119"/>
        <v>#REF!</v>
      </c>
      <c r="W234" s="552" t="e">
        <f t="shared" si="119"/>
        <v>#REF!</v>
      </c>
      <c r="X234" s="552" t="e">
        <f t="shared" si="119"/>
        <v>#REF!</v>
      </c>
      <c r="Y234" s="552" t="e">
        <f t="shared" si="119"/>
        <v>#REF!</v>
      </c>
      <c r="Z234" s="552" t="e">
        <f t="shared" si="119"/>
        <v>#REF!</v>
      </c>
      <c r="AA234" s="552" t="e">
        <f t="shared" si="119"/>
        <v>#REF!</v>
      </c>
      <c r="AB234" s="552" t="e">
        <f t="shared" si="119"/>
        <v>#REF!</v>
      </c>
      <c r="AC234" s="552" t="e">
        <f t="shared" si="119"/>
        <v>#REF!</v>
      </c>
      <c r="AD234" s="552" t="e">
        <f t="shared" si="119"/>
        <v>#REF!</v>
      </c>
      <c r="AE234" s="552" t="e">
        <f t="shared" si="119"/>
        <v>#REF!</v>
      </c>
      <c r="AF234" s="552" t="e">
        <f t="shared" si="119"/>
        <v>#REF!</v>
      </c>
      <c r="AG234" s="552" t="e">
        <f t="shared" si="119"/>
        <v>#REF!</v>
      </c>
      <c r="AH234" s="552" t="e">
        <f t="shared" si="119"/>
        <v>#REF!</v>
      </c>
      <c r="AI234" s="552" t="e">
        <f t="shared" si="119"/>
        <v>#REF!</v>
      </c>
      <c r="AJ234" s="552" t="e">
        <f t="shared" si="119"/>
        <v>#REF!</v>
      </c>
      <c r="AK234" s="552" t="e">
        <f t="shared" si="119"/>
        <v>#REF!</v>
      </c>
      <c r="AL234" s="552" t="e">
        <f t="shared" si="119"/>
        <v>#REF!</v>
      </c>
      <c r="AM234" s="552" t="e">
        <f t="shared" si="119"/>
        <v>#REF!</v>
      </c>
      <c r="AN234" s="553" t="e">
        <f t="shared" si="119"/>
        <v>#REF!</v>
      </c>
    </row>
    <row r="235" spans="6:40" ht="24.75" customHeight="1" outlineLevel="2">
      <c r="F235" s="554" t="s">
        <v>328</v>
      </c>
      <c r="G235" s="555" t="s">
        <v>314</v>
      </c>
      <c r="H235" s="556">
        <f aca="true" t="shared" si="120" ref="H235:AN235">+IF((G77)&lt;&gt;0,(H77)/(G77),0)</f>
        <v>0</v>
      </c>
      <c r="I235" s="556">
        <f t="shared" si="120"/>
        <v>0</v>
      </c>
      <c r="J235" s="557">
        <f t="shared" si="120"/>
        <v>0</v>
      </c>
      <c r="K235" s="551">
        <f t="shared" si="120"/>
        <v>1.6137534551972348</v>
      </c>
      <c r="L235" s="552">
        <f t="shared" si="120"/>
        <v>0.1480968772998059</v>
      </c>
      <c r="M235" s="552">
        <f t="shared" si="120"/>
        <v>0</v>
      </c>
      <c r="N235" s="552">
        <f t="shared" si="120"/>
        <v>0</v>
      </c>
      <c r="O235" s="552">
        <f t="shared" si="120"/>
        <v>0</v>
      </c>
      <c r="P235" s="552">
        <f t="shared" si="120"/>
        <v>0</v>
      </c>
      <c r="Q235" s="552">
        <f t="shared" si="120"/>
        <v>0</v>
      </c>
      <c r="R235" s="552">
        <f t="shared" si="120"/>
        <v>0</v>
      </c>
      <c r="S235" s="552">
        <f t="shared" si="120"/>
        <v>0</v>
      </c>
      <c r="T235" s="552">
        <f t="shared" si="120"/>
        <v>0</v>
      </c>
      <c r="U235" s="552">
        <f t="shared" si="120"/>
        <v>0</v>
      </c>
      <c r="V235" s="552" t="e">
        <f t="shared" si="120"/>
        <v>#REF!</v>
      </c>
      <c r="W235" s="552" t="e">
        <f t="shared" si="120"/>
        <v>#REF!</v>
      </c>
      <c r="X235" s="552" t="e">
        <f t="shared" si="120"/>
        <v>#REF!</v>
      </c>
      <c r="Y235" s="552" t="e">
        <f t="shared" si="120"/>
        <v>#REF!</v>
      </c>
      <c r="Z235" s="552" t="e">
        <f t="shared" si="120"/>
        <v>#REF!</v>
      </c>
      <c r="AA235" s="552" t="e">
        <f t="shared" si="120"/>
        <v>#REF!</v>
      </c>
      <c r="AB235" s="552" t="e">
        <f t="shared" si="120"/>
        <v>#REF!</v>
      </c>
      <c r="AC235" s="552" t="e">
        <f t="shared" si="120"/>
        <v>#REF!</v>
      </c>
      <c r="AD235" s="552" t="e">
        <f t="shared" si="120"/>
        <v>#REF!</v>
      </c>
      <c r="AE235" s="552" t="e">
        <f t="shared" si="120"/>
        <v>#REF!</v>
      </c>
      <c r="AF235" s="552" t="e">
        <f t="shared" si="120"/>
        <v>#REF!</v>
      </c>
      <c r="AG235" s="552" t="e">
        <f t="shared" si="120"/>
        <v>#REF!</v>
      </c>
      <c r="AH235" s="552" t="e">
        <f t="shared" si="120"/>
        <v>#REF!</v>
      </c>
      <c r="AI235" s="552" t="e">
        <f t="shared" si="120"/>
        <v>#REF!</v>
      </c>
      <c r="AJ235" s="552" t="e">
        <f t="shared" si="120"/>
        <v>#REF!</v>
      </c>
      <c r="AK235" s="552" t="e">
        <f t="shared" si="120"/>
        <v>#REF!</v>
      </c>
      <c r="AL235" s="552" t="e">
        <f t="shared" si="120"/>
        <v>#REF!</v>
      </c>
      <c r="AM235" s="552" t="e">
        <f t="shared" si="120"/>
        <v>#REF!</v>
      </c>
      <c r="AN235" s="553" t="e">
        <f t="shared" si="120"/>
        <v>#REF!</v>
      </c>
    </row>
    <row r="236" spans="6:40" ht="15" customHeight="1" outlineLevel="2">
      <c r="F236" s="547" t="s">
        <v>25</v>
      </c>
      <c r="G236" s="548" t="s">
        <v>314</v>
      </c>
      <c r="H236" s="549">
        <f aca="true" t="shared" si="121" ref="H236:AN236">+IF(G18&lt;&gt;0,H18/G18,0)</f>
        <v>0.4741385348122729</v>
      </c>
      <c r="I236" s="549">
        <f t="shared" si="121"/>
        <v>2.1533386239627186</v>
      </c>
      <c r="J236" s="550">
        <f t="shared" si="121"/>
        <v>0.8794999974318526</v>
      </c>
      <c r="K236" s="551">
        <f t="shared" si="121"/>
        <v>0.18225068182540535</v>
      </c>
      <c r="L236" s="552">
        <f t="shared" si="121"/>
        <v>0</v>
      </c>
      <c r="M236" s="552">
        <f t="shared" si="121"/>
        <v>0</v>
      </c>
      <c r="N236" s="552">
        <f t="shared" si="121"/>
        <v>0</v>
      </c>
      <c r="O236" s="552">
        <f t="shared" si="121"/>
        <v>0</v>
      </c>
      <c r="P236" s="552">
        <f t="shared" si="121"/>
        <v>0</v>
      </c>
      <c r="Q236" s="552">
        <f t="shared" si="121"/>
        <v>0</v>
      </c>
      <c r="R236" s="552">
        <f t="shared" si="121"/>
        <v>0</v>
      </c>
      <c r="S236" s="552">
        <f t="shared" si="121"/>
        <v>0</v>
      </c>
      <c r="T236" s="552">
        <f t="shared" si="121"/>
        <v>0</v>
      </c>
      <c r="U236" s="552">
        <f t="shared" si="121"/>
        <v>0</v>
      </c>
      <c r="V236" s="552" t="e">
        <f t="shared" si="121"/>
        <v>#REF!</v>
      </c>
      <c r="W236" s="552" t="e">
        <f t="shared" si="121"/>
        <v>#REF!</v>
      </c>
      <c r="X236" s="552" t="e">
        <f t="shared" si="121"/>
        <v>#REF!</v>
      </c>
      <c r="Y236" s="552" t="e">
        <f t="shared" si="121"/>
        <v>#REF!</v>
      </c>
      <c r="Z236" s="552" t="e">
        <f t="shared" si="121"/>
        <v>#REF!</v>
      </c>
      <c r="AA236" s="552" t="e">
        <f t="shared" si="121"/>
        <v>#REF!</v>
      </c>
      <c r="AB236" s="552" t="e">
        <f t="shared" si="121"/>
        <v>#REF!</v>
      </c>
      <c r="AC236" s="552" t="e">
        <f t="shared" si="121"/>
        <v>#REF!</v>
      </c>
      <c r="AD236" s="552" t="e">
        <f t="shared" si="121"/>
        <v>#REF!</v>
      </c>
      <c r="AE236" s="552" t="e">
        <f t="shared" si="121"/>
        <v>#REF!</v>
      </c>
      <c r="AF236" s="552" t="e">
        <f t="shared" si="121"/>
        <v>#REF!</v>
      </c>
      <c r="AG236" s="552" t="e">
        <f t="shared" si="121"/>
        <v>#REF!</v>
      </c>
      <c r="AH236" s="552" t="e">
        <f t="shared" si="121"/>
        <v>#REF!</v>
      </c>
      <c r="AI236" s="552" t="e">
        <f t="shared" si="121"/>
        <v>#REF!</v>
      </c>
      <c r="AJ236" s="552" t="e">
        <f t="shared" si="121"/>
        <v>#REF!</v>
      </c>
      <c r="AK236" s="552" t="e">
        <f t="shared" si="121"/>
        <v>#REF!</v>
      </c>
      <c r="AL236" s="552" t="e">
        <f t="shared" si="121"/>
        <v>#REF!</v>
      </c>
      <c r="AM236" s="552" t="e">
        <f t="shared" si="121"/>
        <v>#REF!</v>
      </c>
      <c r="AN236" s="553" t="e">
        <f t="shared" si="121"/>
        <v>#REF!</v>
      </c>
    </row>
    <row r="237" spans="6:40" ht="15" customHeight="1" outlineLevel="2">
      <c r="F237" s="558" t="s">
        <v>27</v>
      </c>
      <c r="G237" s="548" t="s">
        <v>314</v>
      </c>
      <c r="H237" s="549">
        <f aca="true" t="shared" si="122" ref="H237:AN237">+IF(G19&lt;&gt;0,H19/G19,0)</f>
        <v>0.01944877842169306</v>
      </c>
      <c r="I237" s="549">
        <f t="shared" si="122"/>
        <v>3.845301963872619</v>
      </c>
      <c r="J237" s="550">
        <f t="shared" si="122"/>
        <v>1.5988832000000002</v>
      </c>
      <c r="K237" s="551">
        <f t="shared" si="122"/>
        <v>0.781795693393989</v>
      </c>
      <c r="L237" s="552">
        <f t="shared" si="122"/>
        <v>0</v>
      </c>
      <c r="M237" s="552">
        <f t="shared" si="122"/>
        <v>0</v>
      </c>
      <c r="N237" s="552">
        <f t="shared" si="122"/>
        <v>0</v>
      </c>
      <c r="O237" s="552">
        <f t="shared" si="122"/>
        <v>0</v>
      </c>
      <c r="P237" s="552">
        <f t="shared" si="122"/>
        <v>0</v>
      </c>
      <c r="Q237" s="552">
        <f t="shared" si="122"/>
        <v>0</v>
      </c>
      <c r="R237" s="552">
        <f t="shared" si="122"/>
        <v>0</v>
      </c>
      <c r="S237" s="552">
        <f t="shared" si="122"/>
        <v>0</v>
      </c>
      <c r="T237" s="552">
        <f t="shared" si="122"/>
        <v>0</v>
      </c>
      <c r="U237" s="552">
        <f t="shared" si="122"/>
        <v>0</v>
      </c>
      <c r="V237" s="552" t="e">
        <f t="shared" si="122"/>
        <v>#REF!</v>
      </c>
      <c r="W237" s="552" t="e">
        <f t="shared" si="122"/>
        <v>#REF!</v>
      </c>
      <c r="X237" s="552" t="e">
        <f t="shared" si="122"/>
        <v>#REF!</v>
      </c>
      <c r="Y237" s="552" t="e">
        <f t="shared" si="122"/>
        <v>#REF!</v>
      </c>
      <c r="Z237" s="552" t="e">
        <f t="shared" si="122"/>
        <v>#REF!</v>
      </c>
      <c r="AA237" s="552" t="e">
        <f t="shared" si="122"/>
        <v>#REF!</v>
      </c>
      <c r="AB237" s="552" t="e">
        <f t="shared" si="122"/>
        <v>#REF!</v>
      </c>
      <c r="AC237" s="552" t="e">
        <f t="shared" si="122"/>
        <v>#REF!</v>
      </c>
      <c r="AD237" s="552" t="e">
        <f t="shared" si="122"/>
        <v>#REF!</v>
      </c>
      <c r="AE237" s="552" t="e">
        <f t="shared" si="122"/>
        <v>#REF!</v>
      </c>
      <c r="AF237" s="552" t="e">
        <f t="shared" si="122"/>
        <v>#REF!</v>
      </c>
      <c r="AG237" s="552" t="e">
        <f t="shared" si="122"/>
        <v>#REF!</v>
      </c>
      <c r="AH237" s="552" t="e">
        <f t="shared" si="122"/>
        <v>#REF!</v>
      </c>
      <c r="AI237" s="552" t="e">
        <f t="shared" si="122"/>
        <v>#REF!</v>
      </c>
      <c r="AJ237" s="552" t="e">
        <f t="shared" si="122"/>
        <v>#REF!</v>
      </c>
      <c r="AK237" s="552" t="e">
        <f t="shared" si="122"/>
        <v>#REF!</v>
      </c>
      <c r="AL237" s="552" t="e">
        <f t="shared" si="122"/>
        <v>#REF!</v>
      </c>
      <c r="AM237" s="552" t="e">
        <f t="shared" si="122"/>
        <v>#REF!</v>
      </c>
      <c r="AN237" s="553" t="e">
        <f t="shared" si="122"/>
        <v>#REF!</v>
      </c>
    </row>
    <row r="238" spans="6:40" ht="24" customHeight="1" outlineLevel="2">
      <c r="F238" s="559" t="s">
        <v>328</v>
      </c>
      <c r="G238" s="560" t="s">
        <v>314</v>
      </c>
      <c r="H238" s="561">
        <f aca="true" t="shared" si="123" ref="H238:AN238">+IF((G80)&lt;&gt;0,(H80)/(G80),0)</f>
        <v>0</v>
      </c>
      <c r="I238" s="561">
        <f t="shared" si="123"/>
        <v>0</v>
      </c>
      <c r="J238" s="562">
        <f t="shared" si="123"/>
        <v>0</v>
      </c>
      <c r="K238" s="563">
        <f t="shared" si="123"/>
        <v>0</v>
      </c>
      <c r="L238" s="564">
        <f t="shared" si="123"/>
        <v>0</v>
      </c>
      <c r="M238" s="564">
        <f t="shared" si="123"/>
        <v>0</v>
      </c>
      <c r="N238" s="564">
        <f t="shared" si="123"/>
        <v>0</v>
      </c>
      <c r="O238" s="564">
        <f t="shared" si="123"/>
        <v>0</v>
      </c>
      <c r="P238" s="564">
        <f t="shared" si="123"/>
        <v>0</v>
      </c>
      <c r="Q238" s="564">
        <f t="shared" si="123"/>
        <v>0</v>
      </c>
      <c r="R238" s="564">
        <f t="shared" si="123"/>
        <v>0</v>
      </c>
      <c r="S238" s="564">
        <f t="shared" si="123"/>
        <v>0</v>
      </c>
      <c r="T238" s="564">
        <f t="shared" si="123"/>
        <v>0</v>
      </c>
      <c r="U238" s="564">
        <f t="shared" si="123"/>
        <v>0</v>
      </c>
      <c r="V238" s="564" t="e">
        <f t="shared" si="123"/>
        <v>#REF!</v>
      </c>
      <c r="W238" s="564" t="e">
        <f t="shared" si="123"/>
        <v>#REF!</v>
      </c>
      <c r="X238" s="564" t="e">
        <f t="shared" si="123"/>
        <v>#REF!</v>
      </c>
      <c r="Y238" s="564" t="e">
        <f t="shared" si="123"/>
        <v>#REF!</v>
      </c>
      <c r="Z238" s="564" t="e">
        <f t="shared" si="123"/>
        <v>#REF!</v>
      </c>
      <c r="AA238" s="564" t="e">
        <f t="shared" si="123"/>
        <v>#REF!</v>
      </c>
      <c r="AB238" s="564" t="e">
        <f t="shared" si="123"/>
        <v>#REF!</v>
      </c>
      <c r="AC238" s="564" t="e">
        <f t="shared" si="123"/>
        <v>#REF!</v>
      </c>
      <c r="AD238" s="564" t="e">
        <f t="shared" si="123"/>
        <v>#REF!</v>
      </c>
      <c r="AE238" s="564" t="e">
        <f t="shared" si="123"/>
        <v>#REF!</v>
      </c>
      <c r="AF238" s="564" t="e">
        <f t="shared" si="123"/>
        <v>#REF!</v>
      </c>
      <c r="AG238" s="564" t="e">
        <f t="shared" si="123"/>
        <v>#REF!</v>
      </c>
      <c r="AH238" s="564" t="e">
        <f t="shared" si="123"/>
        <v>#REF!</v>
      </c>
      <c r="AI238" s="564" t="e">
        <f t="shared" si="123"/>
        <v>#REF!</v>
      </c>
      <c r="AJ238" s="564" t="e">
        <f t="shared" si="123"/>
        <v>#REF!</v>
      </c>
      <c r="AK238" s="564" t="e">
        <f t="shared" si="123"/>
        <v>#REF!</v>
      </c>
      <c r="AL238" s="564" t="e">
        <f t="shared" si="123"/>
        <v>#REF!</v>
      </c>
      <c r="AM238" s="564" t="e">
        <f t="shared" si="123"/>
        <v>#REF!</v>
      </c>
      <c r="AN238" s="565" t="e">
        <f t="shared" si="123"/>
        <v>#REF!</v>
      </c>
    </row>
    <row r="239" spans="1:40" s="315" customFormat="1" ht="12.75" outlineLevel="2">
      <c r="A239" s="539"/>
      <c r="B239" s="539"/>
      <c r="C239" s="539"/>
      <c r="D239" s="539"/>
      <c r="E239" s="539"/>
      <c r="F239" s="540" t="s">
        <v>30</v>
      </c>
      <c r="G239" s="541" t="s">
        <v>314</v>
      </c>
      <c r="H239" s="542">
        <f aca="true" t="shared" si="124" ref="H239:AN239">+IF(G21&lt;&gt;0,H21/G21,0)</f>
        <v>0.8967870461032859</v>
      </c>
      <c r="I239" s="542">
        <f t="shared" si="124"/>
        <v>1.3047457803007063</v>
      </c>
      <c r="J239" s="543">
        <f t="shared" si="124"/>
        <v>0.8984820945579205</v>
      </c>
      <c r="K239" s="544">
        <f t="shared" si="124"/>
        <v>0.9496005884346836</v>
      </c>
      <c r="L239" s="545">
        <f t="shared" si="124"/>
        <v>0.8515733800015673</v>
      </c>
      <c r="M239" s="545">
        <f t="shared" si="124"/>
        <v>0.9907351913491386</v>
      </c>
      <c r="N239" s="545">
        <f t="shared" si="124"/>
        <v>1.012006861063465</v>
      </c>
      <c r="O239" s="545">
        <f t="shared" si="124"/>
        <v>1.0101694915254238</v>
      </c>
      <c r="P239" s="545">
        <f t="shared" si="124"/>
        <v>1.0201342281879195</v>
      </c>
      <c r="Q239" s="545">
        <f t="shared" si="124"/>
        <v>1.019736842105263</v>
      </c>
      <c r="R239" s="545">
        <f t="shared" si="124"/>
        <v>1.0161290322580645</v>
      </c>
      <c r="S239" s="545">
        <f t="shared" si="124"/>
        <v>1.0476190476190477</v>
      </c>
      <c r="T239" s="545">
        <f t="shared" si="124"/>
        <v>1.0135342981818183</v>
      </c>
      <c r="U239" s="545" t="e">
        <f t="shared" si="124"/>
        <v>#REF!</v>
      </c>
      <c r="V239" s="545" t="e">
        <f t="shared" si="124"/>
        <v>#REF!</v>
      </c>
      <c r="W239" s="545" t="e">
        <f t="shared" si="124"/>
        <v>#REF!</v>
      </c>
      <c r="X239" s="545" t="e">
        <f t="shared" si="124"/>
        <v>#REF!</v>
      </c>
      <c r="Y239" s="545" t="e">
        <f t="shared" si="124"/>
        <v>#REF!</v>
      </c>
      <c r="Z239" s="545" t="e">
        <f t="shared" si="124"/>
        <v>#REF!</v>
      </c>
      <c r="AA239" s="545" t="e">
        <f t="shared" si="124"/>
        <v>#REF!</v>
      </c>
      <c r="AB239" s="545" t="e">
        <f t="shared" si="124"/>
        <v>#REF!</v>
      </c>
      <c r="AC239" s="545" t="e">
        <f t="shared" si="124"/>
        <v>#REF!</v>
      </c>
      <c r="AD239" s="545" t="e">
        <f t="shared" si="124"/>
        <v>#REF!</v>
      </c>
      <c r="AE239" s="545" t="e">
        <f t="shared" si="124"/>
        <v>#REF!</v>
      </c>
      <c r="AF239" s="545" t="e">
        <f t="shared" si="124"/>
        <v>#REF!</v>
      </c>
      <c r="AG239" s="545" t="e">
        <f t="shared" si="124"/>
        <v>#REF!</v>
      </c>
      <c r="AH239" s="545" t="e">
        <f t="shared" si="124"/>
        <v>#REF!</v>
      </c>
      <c r="AI239" s="545" t="e">
        <f t="shared" si="124"/>
        <v>#REF!</v>
      </c>
      <c r="AJ239" s="545" t="e">
        <f t="shared" si="124"/>
        <v>#REF!</v>
      </c>
      <c r="AK239" s="545" t="e">
        <f t="shared" si="124"/>
        <v>#REF!</v>
      </c>
      <c r="AL239" s="545" t="e">
        <f t="shared" si="124"/>
        <v>#REF!</v>
      </c>
      <c r="AM239" s="545" t="e">
        <f t="shared" si="124"/>
        <v>#REF!</v>
      </c>
      <c r="AN239" s="546" t="e">
        <f t="shared" si="124"/>
        <v>#REF!</v>
      </c>
    </row>
    <row r="240" spans="6:40" ht="15" customHeight="1" outlineLevel="2">
      <c r="F240" s="547" t="s">
        <v>32</v>
      </c>
      <c r="G240" s="548" t="s">
        <v>314</v>
      </c>
      <c r="H240" s="549">
        <f aca="true" t="shared" si="125" ref="H240:AN240">+IF(G22&lt;&gt;0,H22/G22,0)</f>
        <v>1.0365591596679447</v>
      </c>
      <c r="I240" s="549">
        <f t="shared" si="125"/>
        <v>1.1182294313707768</v>
      </c>
      <c r="J240" s="550">
        <f t="shared" si="125"/>
        <v>0.9167147491022986</v>
      </c>
      <c r="K240" s="551">
        <f t="shared" si="125"/>
        <v>1.0232422682755</v>
      </c>
      <c r="L240" s="552">
        <f t="shared" si="125"/>
        <v>0.9807119014756356</v>
      </c>
      <c r="M240" s="552">
        <f t="shared" si="125"/>
        <v>1.0100846573157494</v>
      </c>
      <c r="N240" s="552">
        <f t="shared" si="125"/>
        <v>1.0099447513812154</v>
      </c>
      <c r="O240" s="552">
        <f t="shared" si="125"/>
        <v>1.0134938001458789</v>
      </c>
      <c r="P240" s="552">
        <f t="shared" si="125"/>
        <v>1.0158330334652752</v>
      </c>
      <c r="Q240" s="552">
        <f t="shared" si="125"/>
        <v>1.0155862557562876</v>
      </c>
      <c r="R240" s="552">
        <f t="shared" si="125"/>
        <v>1.0163934426229508</v>
      </c>
      <c r="S240" s="552">
        <f t="shared" si="125"/>
        <v>1.0161290322580645</v>
      </c>
      <c r="T240" s="552">
        <f t="shared" si="125"/>
        <v>1.0151975683890577</v>
      </c>
      <c r="U240" s="552" t="e">
        <f t="shared" si="125"/>
        <v>#REF!</v>
      </c>
      <c r="V240" s="552" t="e">
        <f t="shared" si="125"/>
        <v>#REF!</v>
      </c>
      <c r="W240" s="552" t="e">
        <f t="shared" si="125"/>
        <v>#REF!</v>
      </c>
      <c r="X240" s="552" t="e">
        <f t="shared" si="125"/>
        <v>#REF!</v>
      </c>
      <c r="Y240" s="552" t="e">
        <f t="shared" si="125"/>
        <v>#REF!</v>
      </c>
      <c r="Z240" s="552" t="e">
        <f t="shared" si="125"/>
        <v>#REF!</v>
      </c>
      <c r="AA240" s="552" t="e">
        <f t="shared" si="125"/>
        <v>#REF!</v>
      </c>
      <c r="AB240" s="552" t="e">
        <f t="shared" si="125"/>
        <v>#REF!</v>
      </c>
      <c r="AC240" s="552" t="e">
        <f t="shared" si="125"/>
        <v>#REF!</v>
      </c>
      <c r="AD240" s="552" t="e">
        <f t="shared" si="125"/>
        <v>#REF!</v>
      </c>
      <c r="AE240" s="552" t="e">
        <f t="shared" si="125"/>
        <v>#REF!</v>
      </c>
      <c r="AF240" s="552" t="e">
        <f t="shared" si="125"/>
        <v>#REF!</v>
      </c>
      <c r="AG240" s="552" t="e">
        <f t="shared" si="125"/>
        <v>#REF!</v>
      </c>
      <c r="AH240" s="552" t="e">
        <f t="shared" si="125"/>
        <v>#REF!</v>
      </c>
      <c r="AI240" s="552" t="e">
        <f t="shared" si="125"/>
        <v>#REF!</v>
      </c>
      <c r="AJ240" s="552" t="e">
        <f t="shared" si="125"/>
        <v>#REF!</v>
      </c>
      <c r="AK240" s="552" t="e">
        <f t="shared" si="125"/>
        <v>#REF!</v>
      </c>
      <c r="AL240" s="552" t="e">
        <f t="shared" si="125"/>
        <v>#REF!</v>
      </c>
      <c r="AM240" s="552" t="e">
        <f t="shared" si="125"/>
        <v>#REF!</v>
      </c>
      <c r="AN240" s="553" t="e">
        <f t="shared" si="125"/>
        <v>#REF!</v>
      </c>
    </row>
    <row r="241" spans="6:40" ht="12.75" outlineLevel="2">
      <c r="F241" s="554" t="s">
        <v>329</v>
      </c>
      <c r="G241" s="548" t="s">
        <v>314</v>
      </c>
      <c r="H241" s="549">
        <f aca="true" t="shared" si="126" ref="H241:AN241">+IF((G22-G26)&lt;&gt;0,(H22-H26)/(G22-G26),0)</f>
        <v>1.0254705380456455</v>
      </c>
      <c r="I241" s="549">
        <f t="shared" si="126"/>
        <v>1.116664787042289</v>
      </c>
      <c r="J241" s="550">
        <f t="shared" si="126"/>
        <v>0.9174058934761085</v>
      </c>
      <c r="K241" s="551">
        <f t="shared" si="126"/>
        <v>1.0216860519102844</v>
      </c>
      <c r="L241" s="552">
        <f t="shared" si="126"/>
        <v>0.9838599718755346</v>
      </c>
      <c r="M241" s="552">
        <f t="shared" si="126"/>
        <v>1.014201300124548</v>
      </c>
      <c r="N241" s="552">
        <f t="shared" si="126"/>
        <v>1.0188679245283019</v>
      </c>
      <c r="O241" s="552">
        <f t="shared" si="126"/>
        <v>1.0185185185185186</v>
      </c>
      <c r="P241" s="552">
        <f t="shared" si="126"/>
        <v>1.018181818181818</v>
      </c>
      <c r="Q241" s="552">
        <f t="shared" si="126"/>
        <v>1.0178571428571428</v>
      </c>
      <c r="R241" s="552">
        <f t="shared" si="126"/>
        <v>1.0175438596491229</v>
      </c>
      <c r="S241" s="552">
        <f t="shared" si="126"/>
        <v>1.0172413793103448</v>
      </c>
      <c r="T241" s="552">
        <f t="shared" si="126"/>
        <v>1.0169491525423728</v>
      </c>
      <c r="U241" s="552" t="e">
        <f t="shared" si="126"/>
        <v>#REF!</v>
      </c>
      <c r="V241" s="552" t="e">
        <f t="shared" si="126"/>
        <v>#REF!</v>
      </c>
      <c r="W241" s="552" t="e">
        <f t="shared" si="126"/>
        <v>#REF!</v>
      </c>
      <c r="X241" s="552" t="e">
        <f t="shared" si="126"/>
        <v>#REF!</v>
      </c>
      <c r="Y241" s="552" t="e">
        <f t="shared" si="126"/>
        <v>#REF!</v>
      </c>
      <c r="Z241" s="552" t="e">
        <f t="shared" si="126"/>
        <v>#REF!</v>
      </c>
      <c r="AA241" s="552" t="e">
        <f t="shared" si="126"/>
        <v>#REF!</v>
      </c>
      <c r="AB241" s="552" t="e">
        <f t="shared" si="126"/>
        <v>#REF!</v>
      </c>
      <c r="AC241" s="552" t="e">
        <f t="shared" si="126"/>
        <v>#REF!</v>
      </c>
      <c r="AD241" s="552" t="e">
        <f t="shared" si="126"/>
        <v>#REF!</v>
      </c>
      <c r="AE241" s="552" t="e">
        <f t="shared" si="126"/>
        <v>#REF!</v>
      </c>
      <c r="AF241" s="552" t="e">
        <f t="shared" si="126"/>
        <v>#REF!</v>
      </c>
      <c r="AG241" s="552" t="e">
        <f t="shared" si="126"/>
        <v>#REF!</v>
      </c>
      <c r="AH241" s="552" t="e">
        <f t="shared" si="126"/>
        <v>#REF!</v>
      </c>
      <c r="AI241" s="552" t="e">
        <f t="shared" si="126"/>
        <v>#REF!</v>
      </c>
      <c r="AJ241" s="552" t="e">
        <f t="shared" si="126"/>
        <v>#REF!</v>
      </c>
      <c r="AK241" s="552" t="e">
        <f t="shared" si="126"/>
        <v>#REF!</v>
      </c>
      <c r="AL241" s="552" t="e">
        <f t="shared" si="126"/>
        <v>#REF!</v>
      </c>
      <c r="AM241" s="552" t="e">
        <f t="shared" si="126"/>
        <v>#REF!</v>
      </c>
      <c r="AN241" s="553" t="e">
        <f t="shared" si="126"/>
        <v>#REF!</v>
      </c>
    </row>
    <row r="242" spans="6:40" ht="24" customHeight="1" outlineLevel="2">
      <c r="F242" s="554" t="s">
        <v>328</v>
      </c>
      <c r="G242" s="548" t="s">
        <v>314</v>
      </c>
      <c r="H242" s="549">
        <f aca="true" t="shared" si="127" ref="H242:AN242">+IF(G83&lt;&gt;0,H83/G83,0)</f>
        <v>0</v>
      </c>
      <c r="I242" s="549">
        <f t="shared" si="127"/>
        <v>0</v>
      </c>
      <c r="J242" s="550">
        <f t="shared" si="127"/>
        <v>0</v>
      </c>
      <c r="K242" s="551">
        <f t="shared" si="127"/>
        <v>0</v>
      </c>
      <c r="L242" s="552">
        <f t="shared" si="127"/>
        <v>0.1504234474864175</v>
      </c>
      <c r="M242" s="552">
        <f t="shared" si="127"/>
        <v>0</v>
      </c>
      <c r="N242" s="552">
        <f t="shared" si="127"/>
        <v>0</v>
      </c>
      <c r="O242" s="552">
        <f t="shared" si="127"/>
        <v>0</v>
      </c>
      <c r="P242" s="552">
        <f t="shared" si="127"/>
        <v>0</v>
      </c>
      <c r="Q242" s="552">
        <f t="shared" si="127"/>
        <v>0</v>
      </c>
      <c r="R242" s="552">
        <f t="shared" si="127"/>
        <v>0</v>
      </c>
      <c r="S242" s="552">
        <f t="shared" si="127"/>
        <v>0</v>
      </c>
      <c r="T242" s="552">
        <f t="shared" si="127"/>
        <v>0</v>
      </c>
      <c r="U242" s="552">
        <f t="shared" si="127"/>
        <v>0</v>
      </c>
      <c r="V242" s="552" t="e">
        <f t="shared" si="127"/>
        <v>#REF!</v>
      </c>
      <c r="W242" s="552" t="e">
        <f t="shared" si="127"/>
        <v>#REF!</v>
      </c>
      <c r="X242" s="552" t="e">
        <f t="shared" si="127"/>
        <v>#REF!</v>
      </c>
      <c r="Y242" s="552" t="e">
        <f t="shared" si="127"/>
        <v>#REF!</v>
      </c>
      <c r="Z242" s="552" t="e">
        <f t="shared" si="127"/>
        <v>#REF!</v>
      </c>
      <c r="AA242" s="552" t="e">
        <f t="shared" si="127"/>
        <v>#REF!</v>
      </c>
      <c r="AB242" s="552" t="e">
        <f t="shared" si="127"/>
        <v>#REF!</v>
      </c>
      <c r="AC242" s="552" t="e">
        <f t="shared" si="127"/>
        <v>#REF!</v>
      </c>
      <c r="AD242" s="552" t="e">
        <f t="shared" si="127"/>
        <v>#REF!</v>
      </c>
      <c r="AE242" s="552" t="e">
        <f t="shared" si="127"/>
        <v>#REF!</v>
      </c>
      <c r="AF242" s="552" t="e">
        <f t="shared" si="127"/>
        <v>#REF!</v>
      </c>
      <c r="AG242" s="552" t="e">
        <f t="shared" si="127"/>
        <v>#REF!</v>
      </c>
      <c r="AH242" s="552" t="e">
        <f t="shared" si="127"/>
        <v>#REF!</v>
      </c>
      <c r="AI242" s="552" t="e">
        <f t="shared" si="127"/>
        <v>#REF!</v>
      </c>
      <c r="AJ242" s="552" t="e">
        <f t="shared" si="127"/>
        <v>#REF!</v>
      </c>
      <c r="AK242" s="552" t="e">
        <f t="shared" si="127"/>
        <v>#REF!</v>
      </c>
      <c r="AL242" s="552" t="e">
        <f t="shared" si="127"/>
        <v>#REF!</v>
      </c>
      <c r="AM242" s="552" t="e">
        <f t="shared" si="127"/>
        <v>#REF!</v>
      </c>
      <c r="AN242" s="553" t="e">
        <f t="shared" si="127"/>
        <v>#REF!</v>
      </c>
    </row>
    <row r="243" spans="6:40" ht="15" customHeight="1" outlineLevel="2">
      <c r="F243" s="554" t="s">
        <v>34</v>
      </c>
      <c r="G243" s="548" t="s">
        <v>314</v>
      </c>
      <c r="H243" s="549">
        <f aca="true" t="shared" si="128" ref="H243:AN243">+IF(G23&lt;&gt;0,H23/G23,0)</f>
        <v>0</v>
      </c>
      <c r="I243" s="549">
        <f t="shared" si="128"/>
        <v>0</v>
      </c>
      <c r="J243" s="550">
        <f t="shared" si="128"/>
        <v>0</v>
      </c>
      <c r="K243" s="551">
        <f t="shared" si="128"/>
        <v>0</v>
      </c>
      <c r="L243" s="552">
        <f t="shared" si="128"/>
        <v>1</v>
      </c>
      <c r="M243" s="552">
        <f t="shared" si="128"/>
        <v>1</v>
      </c>
      <c r="N243" s="552">
        <f t="shared" si="128"/>
        <v>1</v>
      </c>
      <c r="O243" s="552">
        <f t="shared" si="128"/>
        <v>1</v>
      </c>
      <c r="P243" s="552">
        <f t="shared" si="128"/>
        <v>1</v>
      </c>
      <c r="Q243" s="552">
        <f t="shared" si="128"/>
        <v>1</v>
      </c>
      <c r="R243" s="552">
        <f t="shared" si="128"/>
        <v>1</v>
      </c>
      <c r="S243" s="552">
        <f t="shared" si="128"/>
        <v>0.9181818181818182</v>
      </c>
      <c r="T243" s="552">
        <f t="shared" si="128"/>
        <v>0.5841584158415841</v>
      </c>
      <c r="U243" s="552" t="e">
        <f t="shared" si="128"/>
        <v>#REF!</v>
      </c>
      <c r="V243" s="552" t="e">
        <f t="shared" si="128"/>
        <v>#REF!</v>
      </c>
      <c r="W243" s="552" t="e">
        <f t="shared" si="128"/>
        <v>#REF!</v>
      </c>
      <c r="X243" s="552" t="e">
        <f t="shared" si="128"/>
        <v>#REF!</v>
      </c>
      <c r="Y243" s="552" t="e">
        <f t="shared" si="128"/>
        <v>#REF!</v>
      </c>
      <c r="Z243" s="552" t="e">
        <f t="shared" si="128"/>
        <v>#REF!</v>
      </c>
      <c r="AA243" s="552" t="e">
        <f t="shared" si="128"/>
        <v>#REF!</v>
      </c>
      <c r="AB243" s="552" t="e">
        <f t="shared" si="128"/>
        <v>#REF!</v>
      </c>
      <c r="AC243" s="552" t="e">
        <f t="shared" si="128"/>
        <v>#REF!</v>
      </c>
      <c r="AD243" s="552" t="e">
        <f t="shared" si="128"/>
        <v>#REF!</v>
      </c>
      <c r="AE243" s="552" t="e">
        <f t="shared" si="128"/>
        <v>#REF!</v>
      </c>
      <c r="AF243" s="552" t="e">
        <f t="shared" si="128"/>
        <v>#REF!</v>
      </c>
      <c r="AG243" s="552" t="e">
        <f t="shared" si="128"/>
        <v>#REF!</v>
      </c>
      <c r="AH243" s="552" t="e">
        <f t="shared" si="128"/>
        <v>#REF!</v>
      </c>
      <c r="AI243" s="552" t="e">
        <f t="shared" si="128"/>
        <v>#REF!</v>
      </c>
      <c r="AJ243" s="552" t="e">
        <f t="shared" si="128"/>
        <v>#REF!</v>
      </c>
      <c r="AK243" s="552" t="e">
        <f t="shared" si="128"/>
        <v>#REF!</v>
      </c>
      <c r="AL243" s="552" t="e">
        <f t="shared" si="128"/>
        <v>#REF!</v>
      </c>
      <c r="AM243" s="552" t="e">
        <f t="shared" si="128"/>
        <v>#REF!</v>
      </c>
      <c r="AN243" s="553" t="e">
        <f t="shared" si="128"/>
        <v>#REF!</v>
      </c>
    </row>
    <row r="244" spans="6:40" ht="12.75" outlineLevel="2">
      <c r="F244" s="566" t="s">
        <v>330</v>
      </c>
      <c r="G244" s="548" t="s">
        <v>314</v>
      </c>
      <c r="H244" s="549">
        <f aca="true" t="shared" si="129" ref="H244:AN244">+IF(G24&lt;&gt;0,H24/G24,0)</f>
        <v>0</v>
      </c>
      <c r="I244" s="549">
        <f t="shared" si="129"/>
        <v>0</v>
      </c>
      <c r="J244" s="550">
        <f t="shared" si="129"/>
        <v>0</v>
      </c>
      <c r="K244" s="551">
        <f t="shared" si="129"/>
        <v>0</v>
      </c>
      <c r="L244" s="552">
        <f t="shared" si="129"/>
        <v>0</v>
      </c>
      <c r="M244" s="552">
        <f t="shared" si="129"/>
        <v>0</v>
      </c>
      <c r="N244" s="552">
        <f t="shared" si="129"/>
        <v>0</v>
      </c>
      <c r="O244" s="552">
        <f t="shared" si="129"/>
        <v>0</v>
      </c>
      <c r="P244" s="552">
        <f t="shared" si="129"/>
        <v>0</v>
      </c>
      <c r="Q244" s="552">
        <f t="shared" si="129"/>
        <v>0</v>
      </c>
      <c r="R244" s="552">
        <f t="shared" si="129"/>
        <v>0</v>
      </c>
      <c r="S244" s="552">
        <f t="shared" si="129"/>
        <v>0</v>
      </c>
      <c r="T244" s="552">
        <f t="shared" si="129"/>
        <v>0</v>
      </c>
      <c r="U244" s="552">
        <f t="shared" si="129"/>
        <v>0</v>
      </c>
      <c r="V244" s="552" t="e">
        <f t="shared" si="129"/>
        <v>#REF!</v>
      </c>
      <c r="W244" s="552" t="e">
        <f t="shared" si="129"/>
        <v>#REF!</v>
      </c>
      <c r="X244" s="552" t="e">
        <f t="shared" si="129"/>
        <v>#REF!</v>
      </c>
      <c r="Y244" s="552" t="e">
        <f t="shared" si="129"/>
        <v>#REF!</v>
      </c>
      <c r="Z244" s="552" t="e">
        <f t="shared" si="129"/>
        <v>#REF!</v>
      </c>
      <c r="AA244" s="552" t="e">
        <f t="shared" si="129"/>
        <v>#REF!</v>
      </c>
      <c r="AB244" s="552" t="e">
        <f t="shared" si="129"/>
        <v>#REF!</v>
      </c>
      <c r="AC244" s="552" t="e">
        <f t="shared" si="129"/>
        <v>#REF!</v>
      </c>
      <c r="AD244" s="552" t="e">
        <f t="shared" si="129"/>
        <v>#REF!</v>
      </c>
      <c r="AE244" s="552" t="e">
        <f t="shared" si="129"/>
        <v>#REF!</v>
      </c>
      <c r="AF244" s="552" t="e">
        <f t="shared" si="129"/>
        <v>#REF!</v>
      </c>
      <c r="AG244" s="552" t="e">
        <f t="shared" si="129"/>
        <v>#REF!</v>
      </c>
      <c r="AH244" s="552" t="e">
        <f t="shared" si="129"/>
        <v>#REF!</v>
      </c>
      <c r="AI244" s="552" t="e">
        <f t="shared" si="129"/>
        <v>#REF!</v>
      </c>
      <c r="AJ244" s="552" t="e">
        <f t="shared" si="129"/>
        <v>#REF!</v>
      </c>
      <c r="AK244" s="552" t="e">
        <f t="shared" si="129"/>
        <v>#REF!</v>
      </c>
      <c r="AL244" s="552" t="e">
        <f t="shared" si="129"/>
        <v>#REF!</v>
      </c>
      <c r="AM244" s="552" t="e">
        <f t="shared" si="129"/>
        <v>#REF!</v>
      </c>
      <c r="AN244" s="553" t="e">
        <f t="shared" si="129"/>
        <v>#REF!</v>
      </c>
    </row>
    <row r="245" spans="6:40" ht="15" customHeight="1" outlineLevel="2">
      <c r="F245" s="554" t="s">
        <v>331</v>
      </c>
      <c r="G245" s="548" t="s">
        <v>314</v>
      </c>
      <c r="H245" s="549">
        <f aca="true" t="shared" si="130" ref="H245:AN245">+IF(G26&lt;&gt;0,H26/G26,0)</f>
        <v>1.627814065053764</v>
      </c>
      <c r="I245" s="549">
        <f t="shared" si="130"/>
        <v>1.1707865095952334</v>
      </c>
      <c r="J245" s="550">
        <f t="shared" si="130"/>
        <v>0.8945721053821799</v>
      </c>
      <c r="K245" s="551">
        <f t="shared" si="130"/>
        <v>1.074372392411306</v>
      </c>
      <c r="L245" s="552">
        <f t="shared" si="130"/>
        <v>0.8823529411764706</v>
      </c>
      <c r="M245" s="552">
        <f t="shared" si="130"/>
        <v>0.8666666666666667</v>
      </c>
      <c r="N245" s="552">
        <f t="shared" si="130"/>
        <v>0.6461538461538462</v>
      </c>
      <c r="O245" s="552">
        <f t="shared" si="130"/>
        <v>0.6904761904761905</v>
      </c>
      <c r="P245" s="552">
        <f t="shared" si="130"/>
        <v>0.7931034482758621</v>
      </c>
      <c r="Q245" s="552">
        <f t="shared" si="130"/>
        <v>0.7391304347826086</v>
      </c>
      <c r="R245" s="552">
        <f t="shared" si="130"/>
        <v>0.8235294117647058</v>
      </c>
      <c r="S245" s="552">
        <f t="shared" si="130"/>
        <v>0.7857142857142857</v>
      </c>
      <c r="T245" s="552">
        <f t="shared" si="130"/>
        <v>0.5454545454545454</v>
      </c>
      <c r="U245" s="552" t="e">
        <f t="shared" si="130"/>
        <v>#REF!</v>
      </c>
      <c r="V245" s="552" t="e">
        <f t="shared" si="130"/>
        <v>#REF!</v>
      </c>
      <c r="W245" s="552" t="e">
        <f t="shared" si="130"/>
        <v>#REF!</v>
      </c>
      <c r="X245" s="552" t="e">
        <f t="shared" si="130"/>
        <v>#REF!</v>
      </c>
      <c r="Y245" s="552" t="e">
        <f t="shared" si="130"/>
        <v>#REF!</v>
      </c>
      <c r="Z245" s="552" t="e">
        <f t="shared" si="130"/>
        <v>#REF!</v>
      </c>
      <c r="AA245" s="552" t="e">
        <f t="shared" si="130"/>
        <v>#REF!</v>
      </c>
      <c r="AB245" s="552" t="e">
        <f t="shared" si="130"/>
        <v>#REF!</v>
      </c>
      <c r="AC245" s="552" t="e">
        <f t="shared" si="130"/>
        <v>#REF!</v>
      </c>
      <c r="AD245" s="552" t="e">
        <f t="shared" si="130"/>
        <v>#REF!</v>
      </c>
      <c r="AE245" s="552" t="e">
        <f t="shared" si="130"/>
        <v>#REF!</v>
      </c>
      <c r="AF245" s="552" t="e">
        <f t="shared" si="130"/>
        <v>#REF!</v>
      </c>
      <c r="AG245" s="552" t="e">
        <f t="shared" si="130"/>
        <v>#REF!</v>
      </c>
      <c r="AH245" s="552" t="e">
        <f t="shared" si="130"/>
        <v>#REF!</v>
      </c>
      <c r="AI245" s="552" t="e">
        <f t="shared" si="130"/>
        <v>#REF!</v>
      </c>
      <c r="AJ245" s="552" t="e">
        <f t="shared" si="130"/>
        <v>#REF!</v>
      </c>
      <c r="AK245" s="552" t="e">
        <f t="shared" si="130"/>
        <v>#REF!</v>
      </c>
      <c r="AL245" s="552" t="e">
        <f t="shared" si="130"/>
        <v>#REF!</v>
      </c>
      <c r="AM245" s="552" t="e">
        <f t="shared" si="130"/>
        <v>#REF!</v>
      </c>
      <c r="AN245" s="553" t="e">
        <f t="shared" si="130"/>
        <v>#REF!</v>
      </c>
    </row>
    <row r="246" spans="6:40" ht="15" customHeight="1" outlineLevel="2">
      <c r="F246" s="566" t="s">
        <v>332</v>
      </c>
      <c r="G246" s="548" t="s">
        <v>314</v>
      </c>
      <c r="H246" s="549">
        <f aca="true" t="shared" si="131" ref="H246:AN246">+IF(G27&lt;&gt;0,H27/G27,0)</f>
        <v>1.627814065053764</v>
      </c>
      <c r="I246" s="549">
        <f t="shared" si="131"/>
        <v>1.1707865095952334</v>
      </c>
      <c r="J246" s="550">
        <f t="shared" si="131"/>
        <v>0.8945721053821799</v>
      </c>
      <c r="K246" s="551">
        <f t="shared" si="131"/>
        <v>1.074372392411306</v>
      </c>
      <c r="L246" s="552">
        <f t="shared" si="131"/>
        <v>0.8823529411764706</v>
      </c>
      <c r="M246" s="552">
        <f t="shared" si="131"/>
        <v>0.8666666666666667</v>
      </c>
      <c r="N246" s="552">
        <f t="shared" si="131"/>
        <v>0.6461538461538462</v>
      </c>
      <c r="O246" s="552">
        <f t="shared" si="131"/>
        <v>0.6904761904761905</v>
      </c>
      <c r="P246" s="552">
        <f t="shared" si="131"/>
        <v>0.7931034482758621</v>
      </c>
      <c r="Q246" s="552">
        <f t="shared" si="131"/>
        <v>0.7391304347826086</v>
      </c>
      <c r="R246" s="552">
        <f t="shared" si="131"/>
        <v>0.8235294117647058</v>
      </c>
      <c r="S246" s="552">
        <f t="shared" si="131"/>
        <v>0.7857142857142857</v>
      </c>
      <c r="T246" s="552">
        <f t="shared" si="131"/>
        <v>0.5454545454545454</v>
      </c>
      <c r="U246" s="552" t="e">
        <f t="shared" si="131"/>
        <v>#REF!</v>
      </c>
      <c r="V246" s="552" t="e">
        <f t="shared" si="131"/>
        <v>#REF!</v>
      </c>
      <c r="W246" s="552" t="e">
        <f t="shared" si="131"/>
        <v>#REF!</v>
      </c>
      <c r="X246" s="552" t="e">
        <f t="shared" si="131"/>
        <v>#REF!</v>
      </c>
      <c r="Y246" s="552" t="e">
        <f t="shared" si="131"/>
        <v>#REF!</v>
      </c>
      <c r="Z246" s="552" t="e">
        <f t="shared" si="131"/>
        <v>#REF!</v>
      </c>
      <c r="AA246" s="552" t="e">
        <f t="shared" si="131"/>
        <v>#REF!</v>
      </c>
      <c r="AB246" s="552" t="e">
        <f t="shared" si="131"/>
        <v>#REF!</v>
      </c>
      <c r="AC246" s="552" t="e">
        <f t="shared" si="131"/>
        <v>#REF!</v>
      </c>
      <c r="AD246" s="552" t="e">
        <f t="shared" si="131"/>
        <v>#REF!</v>
      </c>
      <c r="AE246" s="552" t="e">
        <f t="shared" si="131"/>
        <v>#REF!</v>
      </c>
      <c r="AF246" s="552" t="e">
        <f t="shared" si="131"/>
        <v>#REF!</v>
      </c>
      <c r="AG246" s="552" t="e">
        <f t="shared" si="131"/>
        <v>#REF!</v>
      </c>
      <c r="AH246" s="552" t="e">
        <f t="shared" si="131"/>
        <v>#REF!</v>
      </c>
      <c r="AI246" s="552" t="e">
        <f t="shared" si="131"/>
        <v>#REF!</v>
      </c>
      <c r="AJ246" s="552" t="e">
        <f t="shared" si="131"/>
        <v>#REF!</v>
      </c>
      <c r="AK246" s="552" t="e">
        <f t="shared" si="131"/>
        <v>#REF!</v>
      </c>
      <c r="AL246" s="552" t="e">
        <f t="shared" si="131"/>
        <v>#REF!</v>
      </c>
      <c r="AM246" s="552" t="e">
        <f t="shared" si="131"/>
        <v>#REF!</v>
      </c>
      <c r="AN246" s="553" t="e">
        <f t="shared" si="131"/>
        <v>#REF!</v>
      </c>
    </row>
    <row r="247" spans="6:40" ht="15" customHeight="1" outlineLevel="2">
      <c r="F247" s="547" t="s">
        <v>333</v>
      </c>
      <c r="G247" s="548" t="s">
        <v>314</v>
      </c>
      <c r="H247" s="567">
        <f aca="true" t="shared" si="132" ref="H247:AN247">+IF(G28&lt;&gt;0,H28/G28,0)</f>
        <v>0.5220305311116792</v>
      </c>
      <c r="I247" s="567">
        <f t="shared" si="132"/>
        <v>2.2977332192987636</v>
      </c>
      <c r="J247" s="567">
        <f t="shared" si="132"/>
        <v>0.8512422926054288</v>
      </c>
      <c r="K247" s="552">
        <f t="shared" si="132"/>
        <v>0.7441237487341772</v>
      </c>
      <c r="L247" s="552">
        <f t="shared" si="132"/>
        <v>0.35609089489118234</v>
      </c>
      <c r="M247" s="552">
        <f t="shared" si="132"/>
        <v>0.7862687410889215</v>
      </c>
      <c r="N247" s="552">
        <f t="shared" si="132"/>
        <v>1.04</v>
      </c>
      <c r="O247" s="552">
        <f t="shared" si="132"/>
        <v>0.9663461538461539</v>
      </c>
      <c r="P247" s="552">
        <f t="shared" si="132"/>
        <v>1.0796019900497513</v>
      </c>
      <c r="Q247" s="552">
        <f t="shared" si="132"/>
        <v>1.0737327188940091</v>
      </c>
      <c r="R247" s="552">
        <f t="shared" si="132"/>
        <v>1.0128755364806867</v>
      </c>
      <c r="S247" s="552">
        <f t="shared" si="132"/>
        <v>1.4364406779661016</v>
      </c>
      <c r="T247" s="552">
        <f t="shared" si="132"/>
        <v>0.9990064424778761</v>
      </c>
      <c r="U247" s="552" t="e">
        <f t="shared" si="132"/>
        <v>#REF!</v>
      </c>
      <c r="V247" s="552" t="e">
        <f t="shared" si="132"/>
        <v>#REF!</v>
      </c>
      <c r="W247" s="552" t="e">
        <f t="shared" si="132"/>
        <v>#REF!</v>
      </c>
      <c r="X247" s="552" t="e">
        <f t="shared" si="132"/>
        <v>#REF!</v>
      </c>
      <c r="Y247" s="552" t="e">
        <f t="shared" si="132"/>
        <v>#REF!</v>
      </c>
      <c r="Z247" s="552" t="e">
        <f t="shared" si="132"/>
        <v>#REF!</v>
      </c>
      <c r="AA247" s="552" t="e">
        <f t="shared" si="132"/>
        <v>#REF!</v>
      </c>
      <c r="AB247" s="552" t="e">
        <f t="shared" si="132"/>
        <v>#REF!</v>
      </c>
      <c r="AC247" s="552" t="e">
        <f t="shared" si="132"/>
        <v>#REF!</v>
      </c>
      <c r="AD247" s="552" t="e">
        <f t="shared" si="132"/>
        <v>#REF!</v>
      </c>
      <c r="AE247" s="552" t="e">
        <f t="shared" si="132"/>
        <v>#REF!</v>
      </c>
      <c r="AF247" s="552" t="e">
        <f t="shared" si="132"/>
        <v>#REF!</v>
      </c>
      <c r="AG247" s="552" t="e">
        <f t="shared" si="132"/>
        <v>#REF!</v>
      </c>
      <c r="AH247" s="552" t="e">
        <f t="shared" si="132"/>
        <v>#REF!</v>
      </c>
      <c r="AI247" s="552" t="e">
        <f t="shared" si="132"/>
        <v>#REF!</v>
      </c>
      <c r="AJ247" s="552" t="e">
        <f t="shared" si="132"/>
        <v>#REF!</v>
      </c>
      <c r="AK247" s="552" t="e">
        <f t="shared" si="132"/>
        <v>#REF!</v>
      </c>
      <c r="AL247" s="552" t="e">
        <f t="shared" si="132"/>
        <v>#REF!</v>
      </c>
      <c r="AM247" s="552" t="e">
        <f t="shared" si="132"/>
        <v>#REF!</v>
      </c>
      <c r="AN247" s="553" t="e">
        <f t="shared" si="132"/>
        <v>#REF!</v>
      </c>
    </row>
    <row r="248" spans="6:40" ht="24" customHeight="1" outlineLevel="2">
      <c r="F248" s="559" t="s">
        <v>328</v>
      </c>
      <c r="G248" s="568" t="s">
        <v>314</v>
      </c>
      <c r="H248" s="569">
        <f aca="true" t="shared" si="133" ref="H248:AN248">+IF(G86&lt;&gt;0,H86/G86,0)</f>
        <v>0</v>
      </c>
      <c r="I248" s="569">
        <f t="shared" si="133"/>
        <v>0</v>
      </c>
      <c r="J248" s="570">
        <f t="shared" si="133"/>
        <v>0</v>
      </c>
      <c r="K248" s="563">
        <f t="shared" si="133"/>
        <v>0</v>
      </c>
      <c r="L248" s="564">
        <f t="shared" si="133"/>
        <v>0</v>
      </c>
      <c r="M248" s="564">
        <f t="shared" si="133"/>
        <v>0</v>
      </c>
      <c r="N248" s="564">
        <f t="shared" si="133"/>
        <v>0</v>
      </c>
      <c r="O248" s="564">
        <f t="shared" si="133"/>
        <v>0</v>
      </c>
      <c r="P248" s="564">
        <f t="shared" si="133"/>
        <v>0</v>
      </c>
      <c r="Q248" s="564">
        <f t="shared" si="133"/>
        <v>0</v>
      </c>
      <c r="R248" s="564">
        <f t="shared" si="133"/>
        <v>0</v>
      </c>
      <c r="S248" s="564">
        <f t="shared" si="133"/>
        <v>0</v>
      </c>
      <c r="T248" s="564">
        <f t="shared" si="133"/>
        <v>0</v>
      </c>
      <c r="U248" s="564">
        <f t="shared" si="133"/>
        <v>0</v>
      </c>
      <c r="V248" s="564" t="e">
        <f t="shared" si="133"/>
        <v>#REF!</v>
      </c>
      <c r="W248" s="564" t="e">
        <f t="shared" si="133"/>
        <v>#REF!</v>
      </c>
      <c r="X248" s="564" t="e">
        <f t="shared" si="133"/>
        <v>#REF!</v>
      </c>
      <c r="Y248" s="564" t="e">
        <f t="shared" si="133"/>
        <v>#REF!</v>
      </c>
      <c r="Z248" s="564" t="e">
        <f t="shared" si="133"/>
        <v>#REF!</v>
      </c>
      <c r="AA248" s="564" t="e">
        <f t="shared" si="133"/>
        <v>#REF!</v>
      </c>
      <c r="AB248" s="564" t="e">
        <f t="shared" si="133"/>
        <v>#REF!</v>
      </c>
      <c r="AC248" s="564" t="e">
        <f t="shared" si="133"/>
        <v>#REF!</v>
      </c>
      <c r="AD248" s="564" t="e">
        <f t="shared" si="133"/>
        <v>#REF!</v>
      </c>
      <c r="AE248" s="564" t="e">
        <f t="shared" si="133"/>
        <v>#REF!</v>
      </c>
      <c r="AF248" s="564" t="e">
        <f t="shared" si="133"/>
        <v>#REF!</v>
      </c>
      <c r="AG248" s="564" t="e">
        <f t="shared" si="133"/>
        <v>#REF!</v>
      </c>
      <c r="AH248" s="564" t="e">
        <f t="shared" si="133"/>
        <v>#REF!</v>
      </c>
      <c r="AI248" s="564" t="e">
        <f t="shared" si="133"/>
        <v>#REF!</v>
      </c>
      <c r="AJ248" s="564" t="e">
        <f t="shared" si="133"/>
        <v>#REF!</v>
      </c>
      <c r="AK248" s="564" t="e">
        <f t="shared" si="133"/>
        <v>#REF!</v>
      </c>
      <c r="AL248" s="564" t="e">
        <f t="shared" si="133"/>
        <v>#REF!</v>
      </c>
      <c r="AM248" s="564" t="e">
        <f t="shared" si="133"/>
        <v>#REF!</v>
      </c>
      <c r="AN248" s="565" t="e">
        <f t="shared" si="133"/>
        <v>#REF!</v>
      </c>
    </row>
    <row r="249" spans="6:40" ht="12.75" outlineLevel="2">
      <c r="F249" s="571" t="s">
        <v>334</v>
      </c>
      <c r="G249" s="572"/>
      <c r="H249" s="572"/>
      <c r="I249" s="572"/>
      <c r="J249" s="572"/>
      <c r="K249" s="573"/>
      <c r="L249" s="574"/>
      <c r="M249" s="574"/>
      <c r="N249" s="574"/>
      <c r="O249" s="574"/>
      <c r="P249" s="574"/>
      <c r="Q249" s="574"/>
      <c r="R249" s="574"/>
      <c r="S249" s="574"/>
      <c r="T249" s="574"/>
      <c r="U249" s="574"/>
      <c r="V249" s="574"/>
      <c r="W249" s="574"/>
      <c r="X249" s="574"/>
      <c r="Y249" s="574"/>
      <c r="Z249" s="574"/>
      <c r="AA249" s="574"/>
      <c r="AB249" s="574"/>
      <c r="AC249" s="574"/>
      <c r="AD249" s="574"/>
      <c r="AE249" s="574"/>
      <c r="AF249" s="574"/>
      <c r="AG249" s="574"/>
      <c r="AH249" s="574"/>
      <c r="AI249" s="574"/>
      <c r="AJ249" s="574"/>
      <c r="AK249" s="574"/>
      <c r="AL249" s="574"/>
      <c r="AM249" s="574"/>
      <c r="AN249" s="574"/>
    </row>
    <row r="250" spans="6:40" ht="15" customHeight="1" outlineLevel="2">
      <c r="F250" s="575" t="s">
        <v>335</v>
      </c>
      <c r="G250" s="576" t="s">
        <v>314</v>
      </c>
      <c r="H250" s="577">
        <f aca="true" t="shared" si="134" ref="H250:AN250">+IF(G68&lt;&gt;0,H68/G68,0)</f>
        <v>0</v>
      </c>
      <c r="I250" s="577">
        <f t="shared" si="134"/>
        <v>0</v>
      </c>
      <c r="J250" s="578">
        <f t="shared" si="134"/>
        <v>0.9839191188244393</v>
      </c>
      <c r="K250" s="579">
        <f t="shared" si="134"/>
        <v>1.035722429028519</v>
      </c>
      <c r="L250" s="580">
        <f t="shared" si="134"/>
        <v>0.9971261056540347</v>
      </c>
      <c r="M250" s="580">
        <f t="shared" si="134"/>
        <v>1.032258064516129</v>
      </c>
      <c r="N250" s="580">
        <f t="shared" si="134"/>
        <v>1.015625</v>
      </c>
      <c r="O250" s="580">
        <f t="shared" si="134"/>
        <v>1.0153846153846153</v>
      </c>
      <c r="P250" s="580">
        <f t="shared" si="134"/>
        <v>1.0151515151515151</v>
      </c>
      <c r="Q250" s="580">
        <f t="shared" si="134"/>
        <v>1.0149253731343284</v>
      </c>
      <c r="R250" s="580">
        <f t="shared" si="134"/>
        <v>1.0147058823529411</v>
      </c>
      <c r="S250" s="580">
        <f t="shared" si="134"/>
        <v>1.0144927536231885</v>
      </c>
      <c r="T250" s="580">
        <f t="shared" si="134"/>
        <v>1.0179285714285715</v>
      </c>
      <c r="U250" s="580" t="e">
        <f t="shared" si="134"/>
        <v>#REF!</v>
      </c>
      <c r="V250" s="580" t="e">
        <f t="shared" si="134"/>
        <v>#REF!</v>
      </c>
      <c r="W250" s="580" t="e">
        <f t="shared" si="134"/>
        <v>#REF!</v>
      </c>
      <c r="X250" s="580" t="e">
        <f t="shared" si="134"/>
        <v>#REF!</v>
      </c>
      <c r="Y250" s="580" t="e">
        <f t="shared" si="134"/>
        <v>#REF!</v>
      </c>
      <c r="Z250" s="580" t="e">
        <f t="shared" si="134"/>
        <v>#REF!</v>
      </c>
      <c r="AA250" s="580" t="e">
        <f t="shared" si="134"/>
        <v>#REF!</v>
      </c>
      <c r="AB250" s="580" t="e">
        <f t="shared" si="134"/>
        <v>#REF!</v>
      </c>
      <c r="AC250" s="580" t="e">
        <f t="shared" si="134"/>
        <v>#REF!</v>
      </c>
      <c r="AD250" s="580" t="e">
        <f t="shared" si="134"/>
        <v>#REF!</v>
      </c>
      <c r="AE250" s="580" t="e">
        <f t="shared" si="134"/>
        <v>#REF!</v>
      </c>
      <c r="AF250" s="580" t="e">
        <f t="shared" si="134"/>
        <v>#REF!</v>
      </c>
      <c r="AG250" s="580" t="e">
        <f t="shared" si="134"/>
        <v>#REF!</v>
      </c>
      <c r="AH250" s="580" t="e">
        <f t="shared" si="134"/>
        <v>#REF!</v>
      </c>
      <c r="AI250" s="580" t="e">
        <f t="shared" si="134"/>
        <v>#REF!</v>
      </c>
      <c r="AJ250" s="580" t="e">
        <f t="shared" si="134"/>
        <v>#REF!</v>
      </c>
      <c r="AK250" s="580" t="e">
        <f t="shared" si="134"/>
        <v>#REF!</v>
      </c>
      <c r="AL250" s="580" t="e">
        <f t="shared" si="134"/>
        <v>#REF!</v>
      </c>
      <c r="AM250" s="580" t="e">
        <f t="shared" si="134"/>
        <v>#REF!</v>
      </c>
      <c r="AN250" s="581" t="e">
        <f t="shared" si="134"/>
        <v>#REF!</v>
      </c>
    </row>
    <row r="251" spans="6:40" ht="15" customHeight="1" outlineLevel="2">
      <c r="F251" s="547" t="s">
        <v>336</v>
      </c>
      <c r="G251" s="548" t="s">
        <v>314</v>
      </c>
      <c r="H251" s="549">
        <f aca="true" t="shared" si="135" ref="H251:AN251">+IF(G69&lt;&gt;0,H69/G69,0)</f>
        <v>0</v>
      </c>
      <c r="I251" s="549">
        <f t="shared" si="135"/>
        <v>0</v>
      </c>
      <c r="J251" s="550">
        <f t="shared" si="135"/>
        <v>0</v>
      </c>
      <c r="K251" s="551">
        <f t="shared" si="135"/>
        <v>0</v>
      </c>
      <c r="L251" s="552">
        <f t="shared" si="135"/>
        <v>0</v>
      </c>
      <c r="M251" s="552">
        <f t="shared" si="135"/>
        <v>0</v>
      </c>
      <c r="N251" s="552">
        <f t="shared" si="135"/>
        <v>0</v>
      </c>
      <c r="O251" s="552">
        <f t="shared" si="135"/>
        <v>0</v>
      </c>
      <c r="P251" s="552">
        <f t="shared" si="135"/>
        <v>0</v>
      </c>
      <c r="Q251" s="552">
        <f t="shared" si="135"/>
        <v>0</v>
      </c>
      <c r="R251" s="552">
        <f t="shared" si="135"/>
        <v>0</v>
      </c>
      <c r="S251" s="552">
        <f t="shared" si="135"/>
        <v>0</v>
      </c>
      <c r="T251" s="552">
        <f t="shared" si="135"/>
        <v>0</v>
      </c>
      <c r="U251" s="552">
        <f t="shared" si="135"/>
        <v>0</v>
      </c>
      <c r="V251" s="552" t="e">
        <f t="shared" si="135"/>
        <v>#REF!</v>
      </c>
      <c r="W251" s="552" t="e">
        <f t="shared" si="135"/>
        <v>#REF!</v>
      </c>
      <c r="X251" s="552" t="e">
        <f t="shared" si="135"/>
        <v>#REF!</v>
      </c>
      <c r="Y251" s="552" t="e">
        <f t="shared" si="135"/>
        <v>#REF!</v>
      </c>
      <c r="Z251" s="552" t="e">
        <f t="shared" si="135"/>
        <v>#REF!</v>
      </c>
      <c r="AA251" s="552" t="e">
        <f t="shared" si="135"/>
        <v>#REF!</v>
      </c>
      <c r="AB251" s="552" t="e">
        <f t="shared" si="135"/>
        <v>#REF!</v>
      </c>
      <c r="AC251" s="552" t="e">
        <f t="shared" si="135"/>
        <v>#REF!</v>
      </c>
      <c r="AD251" s="552" t="e">
        <f t="shared" si="135"/>
        <v>#REF!</v>
      </c>
      <c r="AE251" s="552" t="e">
        <f t="shared" si="135"/>
        <v>#REF!</v>
      </c>
      <c r="AF251" s="552" t="e">
        <f t="shared" si="135"/>
        <v>#REF!</v>
      </c>
      <c r="AG251" s="552" t="e">
        <f t="shared" si="135"/>
        <v>#REF!</v>
      </c>
      <c r="AH251" s="552" t="e">
        <f t="shared" si="135"/>
        <v>#REF!</v>
      </c>
      <c r="AI251" s="552" t="e">
        <f t="shared" si="135"/>
        <v>#REF!</v>
      </c>
      <c r="AJ251" s="552" t="e">
        <f t="shared" si="135"/>
        <v>#REF!</v>
      </c>
      <c r="AK251" s="552" t="e">
        <f t="shared" si="135"/>
        <v>#REF!</v>
      </c>
      <c r="AL251" s="552" t="e">
        <f t="shared" si="135"/>
        <v>#REF!</v>
      </c>
      <c r="AM251" s="552" t="e">
        <f t="shared" si="135"/>
        <v>#REF!</v>
      </c>
      <c r="AN251" s="553" t="e">
        <f t="shared" si="135"/>
        <v>#REF!</v>
      </c>
    </row>
    <row r="252" spans="6:40" ht="15" customHeight="1" outlineLevel="2">
      <c r="F252" s="547" t="s">
        <v>337</v>
      </c>
      <c r="G252" s="548" t="s">
        <v>314</v>
      </c>
      <c r="H252" s="549">
        <f aca="true" t="shared" si="136" ref="H252:AN252">+IF(G71&lt;&gt;0,H71/G71,0)</f>
        <v>0</v>
      </c>
      <c r="I252" s="549">
        <f t="shared" si="136"/>
        <v>0</v>
      </c>
      <c r="J252" s="550">
        <f t="shared" si="136"/>
        <v>0</v>
      </c>
      <c r="K252" s="551">
        <f t="shared" si="136"/>
        <v>0</v>
      </c>
      <c r="L252" s="552">
        <f t="shared" si="136"/>
        <v>0.5493945306836845</v>
      </c>
      <c r="M252" s="552">
        <f t="shared" si="136"/>
        <v>0.3231824885753496</v>
      </c>
      <c r="N252" s="552">
        <f t="shared" si="136"/>
        <v>0.0003127568725251018</v>
      </c>
      <c r="O252" s="552">
        <f t="shared" si="136"/>
        <v>1</v>
      </c>
      <c r="P252" s="552">
        <f t="shared" si="136"/>
        <v>1</v>
      </c>
      <c r="Q252" s="552">
        <f t="shared" si="136"/>
        <v>1</v>
      </c>
      <c r="R252" s="552">
        <f t="shared" si="136"/>
        <v>0.35714285714285715</v>
      </c>
      <c r="S252" s="552">
        <f t="shared" si="136"/>
        <v>0</v>
      </c>
      <c r="T252" s="552">
        <f t="shared" si="136"/>
        <v>0</v>
      </c>
      <c r="U252" s="552">
        <f t="shared" si="136"/>
        <v>0</v>
      </c>
      <c r="V252" s="552" t="e">
        <f t="shared" si="136"/>
        <v>#REF!</v>
      </c>
      <c r="W252" s="552" t="e">
        <f t="shared" si="136"/>
        <v>#REF!</v>
      </c>
      <c r="X252" s="552" t="e">
        <f t="shared" si="136"/>
        <v>#REF!</v>
      </c>
      <c r="Y252" s="552" t="e">
        <f t="shared" si="136"/>
        <v>#REF!</v>
      </c>
      <c r="Z252" s="552" t="e">
        <f t="shared" si="136"/>
        <v>#REF!</v>
      </c>
      <c r="AA252" s="552" t="e">
        <f t="shared" si="136"/>
        <v>#REF!</v>
      </c>
      <c r="AB252" s="552" t="e">
        <f t="shared" si="136"/>
        <v>#REF!</v>
      </c>
      <c r="AC252" s="552" t="e">
        <f t="shared" si="136"/>
        <v>#REF!</v>
      </c>
      <c r="AD252" s="552" t="e">
        <f t="shared" si="136"/>
        <v>#REF!</v>
      </c>
      <c r="AE252" s="552" t="e">
        <f t="shared" si="136"/>
        <v>#REF!</v>
      </c>
      <c r="AF252" s="552" t="e">
        <f t="shared" si="136"/>
        <v>#REF!</v>
      </c>
      <c r="AG252" s="552" t="e">
        <f t="shared" si="136"/>
        <v>#REF!</v>
      </c>
      <c r="AH252" s="552" t="e">
        <f t="shared" si="136"/>
        <v>#REF!</v>
      </c>
      <c r="AI252" s="552" t="e">
        <f t="shared" si="136"/>
        <v>#REF!</v>
      </c>
      <c r="AJ252" s="552" t="e">
        <f t="shared" si="136"/>
        <v>#REF!</v>
      </c>
      <c r="AK252" s="552" t="e">
        <f t="shared" si="136"/>
        <v>#REF!</v>
      </c>
      <c r="AL252" s="552" t="e">
        <f t="shared" si="136"/>
        <v>#REF!</v>
      </c>
      <c r="AM252" s="552" t="e">
        <f t="shared" si="136"/>
        <v>#REF!</v>
      </c>
      <c r="AN252" s="553" t="e">
        <f t="shared" si="136"/>
        <v>#REF!</v>
      </c>
    </row>
    <row r="253" spans="6:40" ht="15" customHeight="1" outlineLevel="2">
      <c r="F253" s="582" t="s">
        <v>338</v>
      </c>
      <c r="G253" s="568" t="s">
        <v>314</v>
      </c>
      <c r="H253" s="569">
        <f aca="true" t="shared" si="137" ref="H253:AN253">+IF(G72&lt;&gt;0,H72/G72,0)</f>
        <v>0</v>
      </c>
      <c r="I253" s="569">
        <f t="shared" si="137"/>
        <v>0</v>
      </c>
      <c r="J253" s="570">
        <f t="shared" si="137"/>
        <v>0</v>
      </c>
      <c r="K253" s="563">
        <f t="shared" si="137"/>
        <v>0</v>
      </c>
      <c r="L253" s="564">
        <f t="shared" si="137"/>
        <v>0.3374982890471905</v>
      </c>
      <c r="M253" s="564">
        <f t="shared" si="137"/>
        <v>0</v>
      </c>
      <c r="N253" s="564">
        <f t="shared" si="137"/>
        <v>0</v>
      </c>
      <c r="O253" s="564">
        <f t="shared" si="137"/>
        <v>0</v>
      </c>
      <c r="P253" s="564">
        <f t="shared" si="137"/>
        <v>0</v>
      </c>
      <c r="Q253" s="564">
        <f t="shared" si="137"/>
        <v>0</v>
      </c>
      <c r="R253" s="564">
        <f t="shared" si="137"/>
        <v>0</v>
      </c>
      <c r="S253" s="564">
        <f t="shared" si="137"/>
        <v>0</v>
      </c>
      <c r="T253" s="564">
        <f t="shared" si="137"/>
        <v>0</v>
      </c>
      <c r="U253" s="564">
        <f t="shared" si="137"/>
        <v>0</v>
      </c>
      <c r="V253" s="564" t="e">
        <f t="shared" si="137"/>
        <v>#REF!</v>
      </c>
      <c r="W253" s="564" t="e">
        <f t="shared" si="137"/>
        <v>#REF!</v>
      </c>
      <c r="X253" s="564" t="e">
        <f t="shared" si="137"/>
        <v>#REF!</v>
      </c>
      <c r="Y253" s="564" t="e">
        <f t="shared" si="137"/>
        <v>#REF!</v>
      </c>
      <c r="Z253" s="564" t="e">
        <f t="shared" si="137"/>
        <v>#REF!</v>
      </c>
      <c r="AA253" s="564" t="e">
        <f t="shared" si="137"/>
        <v>#REF!</v>
      </c>
      <c r="AB253" s="564" t="e">
        <f t="shared" si="137"/>
        <v>#REF!</v>
      </c>
      <c r="AC253" s="564" t="e">
        <f t="shared" si="137"/>
        <v>#REF!</v>
      </c>
      <c r="AD253" s="564" t="e">
        <f t="shared" si="137"/>
        <v>#REF!</v>
      </c>
      <c r="AE253" s="564" t="e">
        <f t="shared" si="137"/>
        <v>#REF!</v>
      </c>
      <c r="AF253" s="564" t="e">
        <f t="shared" si="137"/>
        <v>#REF!</v>
      </c>
      <c r="AG253" s="564" t="e">
        <f t="shared" si="137"/>
        <v>#REF!</v>
      </c>
      <c r="AH253" s="564" t="e">
        <f t="shared" si="137"/>
        <v>#REF!</v>
      </c>
      <c r="AI253" s="564" t="e">
        <f t="shared" si="137"/>
        <v>#REF!</v>
      </c>
      <c r="AJ253" s="564" t="e">
        <f t="shared" si="137"/>
        <v>#REF!</v>
      </c>
      <c r="AK253" s="564" t="e">
        <f t="shared" si="137"/>
        <v>#REF!</v>
      </c>
      <c r="AL253" s="564" t="e">
        <f t="shared" si="137"/>
        <v>#REF!</v>
      </c>
      <c r="AM253" s="564" t="e">
        <f t="shared" si="137"/>
        <v>#REF!</v>
      </c>
      <c r="AN253" s="565" t="e">
        <f t="shared" si="137"/>
        <v>#REF!</v>
      </c>
    </row>
  </sheetData>
  <sheetProtection selectLockedCells="1" selectUnlockedCells="1"/>
  <mergeCells count="149">
    <mergeCell ref="H1:O1"/>
    <mergeCell ref="H2:N2"/>
    <mergeCell ref="H3:O3"/>
    <mergeCell ref="C9:F9"/>
    <mergeCell ref="C10:F10"/>
    <mergeCell ref="D11:F11"/>
    <mergeCell ref="E12:F12"/>
    <mergeCell ref="E13:F13"/>
    <mergeCell ref="E14:F14"/>
    <mergeCell ref="E16:F16"/>
    <mergeCell ref="E17:F17"/>
    <mergeCell ref="D18:F18"/>
    <mergeCell ref="E19:F19"/>
    <mergeCell ref="E20:F20"/>
    <mergeCell ref="C21:F21"/>
    <mergeCell ref="D22:F22"/>
    <mergeCell ref="E23:F23"/>
    <mergeCell ref="E25:F25"/>
    <mergeCell ref="E26:F26"/>
    <mergeCell ref="D28:F28"/>
    <mergeCell ref="C29:F29"/>
    <mergeCell ref="C30:F30"/>
    <mergeCell ref="D31:F31"/>
    <mergeCell ref="E32:F32"/>
    <mergeCell ref="D33:F33"/>
    <mergeCell ref="E34:F34"/>
    <mergeCell ref="D35:F35"/>
    <mergeCell ref="E36:F36"/>
    <mergeCell ref="D37:F37"/>
    <mergeCell ref="E38:F38"/>
    <mergeCell ref="C39:F39"/>
    <mergeCell ref="D40:F40"/>
    <mergeCell ref="E41:F41"/>
    <mergeCell ref="D43:F43"/>
    <mergeCell ref="C44:F44"/>
    <mergeCell ref="D45:F45"/>
    <mergeCell ref="E46:F46"/>
    <mergeCell ref="D47:F47"/>
    <mergeCell ref="D48:F48"/>
    <mergeCell ref="C49:F49"/>
    <mergeCell ref="C50:F50"/>
    <mergeCell ref="D51:F51"/>
    <mergeCell ref="D52:F52"/>
    <mergeCell ref="C53:F53"/>
    <mergeCell ref="D54:F54"/>
    <mergeCell ref="D55:F55"/>
    <mergeCell ref="D56:F56"/>
    <mergeCell ref="D57:F57"/>
    <mergeCell ref="D58:F58"/>
    <mergeCell ref="D59:F59"/>
    <mergeCell ref="D61:F61"/>
    <mergeCell ref="E62:F62"/>
    <mergeCell ref="D63:F63"/>
    <mergeCell ref="E64:F64"/>
    <mergeCell ref="C65:F65"/>
    <mergeCell ref="D66:F66"/>
    <mergeCell ref="C67:F67"/>
    <mergeCell ref="D68:F68"/>
    <mergeCell ref="D69:F69"/>
    <mergeCell ref="D70:F70"/>
    <mergeCell ref="E71:F71"/>
    <mergeCell ref="E72:F72"/>
    <mergeCell ref="D73:F73"/>
    <mergeCell ref="D74:F74"/>
    <mergeCell ref="D75:F75"/>
    <mergeCell ref="C76:F76"/>
    <mergeCell ref="D77:F77"/>
    <mergeCell ref="E78:F78"/>
    <mergeCell ref="D80:F80"/>
    <mergeCell ref="E81:F81"/>
    <mergeCell ref="D83:F83"/>
    <mergeCell ref="E84:F84"/>
    <mergeCell ref="E85:F85"/>
    <mergeCell ref="D86:F86"/>
    <mergeCell ref="E87:F87"/>
    <mergeCell ref="E88:F88"/>
    <mergeCell ref="C89:F89"/>
    <mergeCell ref="D90:F90"/>
    <mergeCell ref="D91:F91"/>
    <mergeCell ref="D92:F92"/>
    <mergeCell ref="D93:F93"/>
    <mergeCell ref="D94:F94"/>
    <mergeCell ref="D95:F95"/>
    <mergeCell ref="D96:F96"/>
    <mergeCell ref="C97:F97"/>
    <mergeCell ref="D98:F98"/>
    <mergeCell ref="D99:F99"/>
    <mergeCell ref="D100:F100"/>
    <mergeCell ref="E101:F101"/>
    <mergeCell ref="E102:F102"/>
    <mergeCell ref="E103:F103"/>
    <mergeCell ref="D104:F10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</mergeCells>
  <conditionalFormatting sqref="K185:AN186">
    <cfRule type="cellIs" priority="1" dxfId="0" operator="lessThan" stopIfTrue="1">
      <formula>WPF_AnalizaWsk_Projektowanie!$F$182</formula>
    </cfRule>
    <cfRule type="cellIs" priority="2" dxfId="1" operator="lessThan" stopIfTrue="1">
      <formula>WPF_AnalizaWsk_Projektowanie!$F$183</formula>
    </cfRule>
    <cfRule type="cellIs" priority="3" dxfId="2" operator="lessThan" stopIfTrue="1">
      <formula>WPF_AnalizaWsk_Projektowanie!$F$184</formula>
    </cfRule>
  </conditionalFormatting>
  <conditionalFormatting sqref="K187:AN188">
    <cfRule type="cellIs" priority="4" dxfId="0" operator="lessThan" stopIfTrue="1">
      <formula>WPF_AnalizaWsk_Projektowanie!$F$182</formula>
    </cfRule>
    <cfRule type="cellIs" priority="5" dxfId="1" operator="lessThan" stopIfTrue="1">
      <formula>WPF_AnalizaWsk_Projektowanie!$F$183</formula>
    </cfRule>
    <cfRule type="cellIs" priority="6" dxfId="2" operator="lessThan" stopIfTrue="1">
      <formula>WPF_AnalizaWsk_Projektowanie!$F$184</formula>
    </cfRule>
  </conditionalFormatting>
  <conditionalFormatting sqref="K250:AN253">
    <cfRule type="cellIs" priority="7" dxfId="4" operator="between" stopIfTrue="1">
      <formula>0.00000001</formula>
      <formula>1</formula>
    </cfRule>
    <cfRule type="cellIs" priority="8" dxfId="5" operator="greaterThan" stopIfTrue="1">
      <formula>1</formula>
    </cfRule>
  </conditionalFormatting>
  <conditionalFormatting sqref="K193:AN204">
    <cfRule type="cellIs" priority="9" dxfId="0" operator="notBetween" stopIfTrue="1">
      <formula>-WPF_AnalizaWsk_Projektowanie!$F$192</formula>
      <formula>WPF_AnalizaWsk_Projektowanie!$F$192</formula>
    </cfRule>
    <cfRule type="cellIs" priority="10" dxfId="1" operator="notBetween" stopIfTrue="1">
      <formula>-WPF_AnalizaWsk_Projektowanie!$F$191</formula>
      <formula>WPF_AnalizaWsk_Projektowanie!$F$191</formula>
    </cfRule>
    <cfRule type="cellIs" priority="11" dxfId="2" operator="notBetween" stopIfTrue="1">
      <formula>-WPF_AnalizaWsk_Projektowanie!$F$190</formula>
      <formula>WPF_AnalizaWsk_Projektowanie!$F$190</formula>
    </cfRule>
  </conditionalFormatting>
  <conditionalFormatting sqref="K63:AN64">
    <cfRule type="expression" priority="12" dxfId="10" stopIfTrue="1">
      <formula>NOT(ISERROR(SEARCH("NIE",WPF_AnalizaWsk_Projektowanie!K63)))</formula>
    </cfRule>
  </conditionalFormatting>
  <conditionalFormatting sqref="K123:AN123">
    <cfRule type="cellIs" priority="13" dxfId="7" operator="between" stopIfTrue="1">
      <formula>0</formula>
      <formula>100000000000</formula>
    </cfRule>
  </conditionalFormatting>
  <conditionalFormatting sqref="K124:AN126">
    <cfRule type="cellIs" priority="14" dxfId="7" operator="between" stopIfTrue="1">
      <formula>-1000000000000</formula>
      <formula>1000000000000</formula>
    </cfRule>
  </conditionalFormatting>
  <conditionalFormatting sqref="K233:AN248">
    <cfRule type="cellIs" priority="15" dxfId="4" operator="between" stopIfTrue="1">
      <formula>0.00000001</formula>
      <formula>1</formula>
    </cfRule>
    <cfRule type="cellIs" priority="16" dxfId="5" operator="greaterThan" stopIfTrue="1">
      <formula>1</formula>
    </cfRule>
  </conditionalFormatting>
  <conditionalFormatting sqref="K121:AN122">
    <cfRule type="cellIs" priority="17" dxfId="8" operator="between" stopIfTrue="1">
      <formula>-1000000000000</formula>
      <formula>1000000000000</formula>
    </cfRule>
  </conditionalFormatting>
  <conditionalFormatting sqref="K127:AN171">
    <cfRule type="cellIs" priority="18" dxfId="9" operator="equal" stopIfTrue="1">
      <formula>"BŁĄD"</formula>
    </cfRule>
  </conditionalFormatting>
  <conditionalFormatting sqref="G63:I64">
    <cfRule type="expression" priority="19" dxfId="10" stopIfTrue="1">
      <formula>NOT(ISERROR(SEARCH("NIE",WPF_AnalizaWsk_Projektowanie!G63)))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2013-02-25b (symulacja)&amp;C&amp;8Strona &amp;P z &amp;N&amp;R&amp;8Wydruk z dn.: &amp;D - &amp;T</oddFooter>
  </headerFooter>
  <rowBreaks count="2" manualBreakCount="2">
    <brk id="48" max="255" man="1"/>
    <brk id="75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workbookViewId="0" topLeftCell="A19">
      <selection activeCell="D57" sqref="D57"/>
    </sheetView>
  </sheetViews>
  <sheetFormatPr defaultColWidth="8.796875" defaultRowHeight="14.25"/>
  <cols>
    <col min="1" max="1" width="4.5" style="583" customWidth="1"/>
    <col min="2" max="2" width="6.09765625" style="583" customWidth="1"/>
    <col min="3" max="3" width="46.3984375" style="584" customWidth="1"/>
    <col min="4" max="4" width="21" style="584" customWidth="1"/>
    <col min="5" max="5" width="19.8984375" style="584" customWidth="1"/>
    <col min="6" max="13" width="16.796875" style="584" customWidth="1"/>
    <col min="14" max="16384" width="9" style="584" customWidth="1"/>
  </cols>
  <sheetData>
    <row r="9" spans="2:34" ht="12.75">
      <c r="B9" s="583" t="s">
        <v>4</v>
      </c>
      <c r="C9" s="584" t="s">
        <v>5</v>
      </c>
      <c r="D9" s="584">
        <v>2013</v>
      </c>
      <c r="E9" s="584">
        <v>2013</v>
      </c>
      <c r="F9" s="584">
        <f>+E9+1</f>
        <v>2014</v>
      </c>
      <c r="G9" s="584">
        <f aca="true" t="shared" si="0" ref="G9:AF9">+F9+1</f>
        <v>2015</v>
      </c>
      <c r="H9" s="584">
        <f t="shared" si="0"/>
        <v>2016</v>
      </c>
      <c r="I9" s="584">
        <f t="shared" si="0"/>
        <v>2017</v>
      </c>
      <c r="J9" s="584">
        <f t="shared" si="0"/>
        <v>2018</v>
      </c>
      <c r="K9" s="584">
        <f t="shared" si="0"/>
        <v>2019</v>
      </c>
      <c r="L9" s="584">
        <f t="shared" si="0"/>
        <v>2020</v>
      </c>
      <c r="M9" s="584">
        <f t="shared" si="0"/>
        <v>2021</v>
      </c>
      <c r="N9" s="584">
        <f t="shared" si="0"/>
        <v>2022</v>
      </c>
      <c r="O9" s="584">
        <f t="shared" si="0"/>
        <v>2023</v>
      </c>
      <c r="P9" s="584">
        <f t="shared" si="0"/>
        <v>2024</v>
      </c>
      <c r="Q9" s="584">
        <f t="shared" si="0"/>
        <v>2025</v>
      </c>
      <c r="R9" s="584">
        <f t="shared" si="0"/>
        <v>2026</v>
      </c>
      <c r="S9" s="584">
        <f t="shared" si="0"/>
        <v>2027</v>
      </c>
      <c r="T9" s="584">
        <f t="shared" si="0"/>
        <v>2028</v>
      </c>
      <c r="U9" s="584">
        <f t="shared" si="0"/>
        <v>2029</v>
      </c>
      <c r="V9" s="584">
        <f t="shared" si="0"/>
        <v>2030</v>
      </c>
      <c r="W9" s="584">
        <f t="shared" si="0"/>
        <v>2031</v>
      </c>
      <c r="X9" s="584">
        <f t="shared" si="0"/>
        <v>2032</v>
      </c>
      <c r="Y9" s="584">
        <f t="shared" si="0"/>
        <v>2033</v>
      </c>
      <c r="Z9" s="584">
        <f t="shared" si="0"/>
        <v>2034</v>
      </c>
      <c r="AA9" s="584">
        <f t="shared" si="0"/>
        <v>2035</v>
      </c>
      <c r="AB9" s="584">
        <f t="shared" si="0"/>
        <v>2036</v>
      </c>
      <c r="AC9" s="584">
        <f t="shared" si="0"/>
        <v>2037</v>
      </c>
      <c r="AD9" s="584">
        <f t="shared" si="0"/>
        <v>2038</v>
      </c>
      <c r="AE9" s="584">
        <f t="shared" si="0"/>
        <v>2039</v>
      </c>
      <c r="AF9" s="584">
        <f t="shared" si="0"/>
        <v>2040</v>
      </c>
      <c r="AG9" s="584">
        <f>+AF9+1</f>
        <v>2041</v>
      </c>
      <c r="AH9" s="584">
        <f>+AG9+1</f>
        <v>2042</v>
      </c>
    </row>
    <row r="10" spans="1:34" ht="12.75">
      <c r="A10" s="583">
        <v>10</v>
      </c>
      <c r="B10" s="583">
        <v>1</v>
      </c>
      <c r="C10" s="584" t="s">
        <v>9</v>
      </c>
      <c r="D10" s="584" t="str">
        <f>+"rokprognozy="&amp;D$9&amp;" i lp="&amp;$A10</f>
        <v>rokprognozy=2013 i lp=10</v>
      </c>
      <c r="E10" s="584" t="str">
        <f>+"rokprognozy="&amp;E$9&amp;" i lp="&amp;$A10</f>
        <v>rokprognozy=2013 i lp=10</v>
      </c>
      <c r="F10" s="584" t="str">
        <f aca="true" t="shared" si="1" ref="F10:AG22">+"rokprognozy="&amp;F$9&amp;" i lp="&amp;$A10</f>
        <v>rokprognozy=2014 i lp=10</v>
      </c>
      <c r="G10" s="584" t="str">
        <f t="shared" si="1"/>
        <v>rokprognozy=2015 i lp=10</v>
      </c>
      <c r="H10" s="584" t="str">
        <f t="shared" si="1"/>
        <v>rokprognozy=2016 i lp=10</v>
      </c>
      <c r="I10" s="584" t="str">
        <f t="shared" si="1"/>
        <v>rokprognozy=2017 i lp=10</v>
      </c>
      <c r="J10" s="584" t="str">
        <f t="shared" si="1"/>
        <v>rokprognozy=2018 i lp=10</v>
      </c>
      <c r="K10" s="584" t="str">
        <f t="shared" si="1"/>
        <v>rokprognozy=2019 i lp=10</v>
      </c>
      <c r="L10" s="584" t="str">
        <f t="shared" si="1"/>
        <v>rokprognozy=2020 i lp=10</v>
      </c>
      <c r="M10" s="584" t="str">
        <f t="shared" si="1"/>
        <v>rokprognozy=2021 i lp=10</v>
      </c>
      <c r="N10" s="584" t="str">
        <f t="shared" si="1"/>
        <v>rokprognozy=2022 i lp=10</v>
      </c>
      <c r="O10" s="584" t="str">
        <f t="shared" si="1"/>
        <v>rokprognozy=2023 i lp=10</v>
      </c>
      <c r="P10" s="584" t="str">
        <f t="shared" si="1"/>
        <v>rokprognozy=2024 i lp=10</v>
      </c>
      <c r="Q10" s="584" t="str">
        <f t="shared" si="1"/>
        <v>rokprognozy=2025 i lp=10</v>
      </c>
      <c r="R10" s="584" t="str">
        <f t="shared" si="1"/>
        <v>rokprognozy=2026 i lp=10</v>
      </c>
      <c r="S10" s="584" t="str">
        <f t="shared" si="1"/>
        <v>rokprognozy=2027 i lp=10</v>
      </c>
      <c r="T10" s="584" t="str">
        <f t="shared" si="1"/>
        <v>rokprognozy=2028 i lp=10</v>
      </c>
      <c r="U10" s="584" t="str">
        <f t="shared" si="1"/>
        <v>rokprognozy=2029 i lp=10</v>
      </c>
      <c r="V10" s="584" t="str">
        <f t="shared" si="1"/>
        <v>rokprognozy=2030 i lp=10</v>
      </c>
      <c r="W10" s="584" t="str">
        <f t="shared" si="1"/>
        <v>rokprognozy=2031 i lp=10</v>
      </c>
      <c r="X10" s="584" t="str">
        <f t="shared" si="1"/>
        <v>rokprognozy=2032 i lp=10</v>
      </c>
      <c r="Y10" s="584" t="str">
        <f t="shared" si="1"/>
        <v>rokprognozy=2033 i lp=10</v>
      </c>
      <c r="Z10" s="584" t="str">
        <f t="shared" si="1"/>
        <v>rokprognozy=2034 i lp=10</v>
      </c>
      <c r="AA10" s="584" t="str">
        <f t="shared" si="1"/>
        <v>rokprognozy=2035 i lp=10</v>
      </c>
      <c r="AB10" s="584" t="str">
        <f t="shared" si="1"/>
        <v>rokprognozy=2036 i lp=10</v>
      </c>
      <c r="AC10" s="584" t="str">
        <f t="shared" si="1"/>
        <v>rokprognozy=2037 i lp=10</v>
      </c>
      <c r="AD10" s="584" t="str">
        <f t="shared" si="1"/>
        <v>rokprognozy=2038 i lp=10</v>
      </c>
      <c r="AE10" s="584" t="str">
        <f t="shared" si="1"/>
        <v>rokprognozy=2039 i lp=10</v>
      </c>
      <c r="AF10" s="584" t="str">
        <f t="shared" si="1"/>
        <v>rokprognozy=2040 i lp=10</v>
      </c>
      <c r="AG10" s="584" t="str">
        <f t="shared" si="1"/>
        <v>rokprognozy=2041 i lp=10</v>
      </c>
      <c r="AH10" s="584" t="str">
        <f aca="true" t="shared" si="2" ref="AH10:AH21">+"rokprognozy="&amp;AH$9&amp;" i lp="&amp;$A10</f>
        <v>rokprognozy=2042 i lp=10</v>
      </c>
    </row>
    <row r="11" spans="1:34" ht="12.75">
      <c r="A11" s="583">
        <v>20</v>
      </c>
      <c r="B11" s="583">
        <v>1.1</v>
      </c>
      <c r="C11" s="584" t="s">
        <v>383</v>
      </c>
      <c r="D11" s="584" t="str">
        <f aca="true" t="shared" si="3" ref="D11:D75">+"rokprognozy="&amp;D$9&amp;" i lp="&amp;$A11</f>
        <v>rokprognozy=2013 i lp=20</v>
      </c>
      <c r="E11" s="584" t="str">
        <f aca="true" t="shared" si="4" ref="E11:T51">+"rokprognozy="&amp;E$9&amp;" i lp="&amp;$A11</f>
        <v>rokprognozy=2013 i lp=20</v>
      </c>
      <c r="F11" s="584" t="str">
        <f t="shared" si="4"/>
        <v>rokprognozy=2014 i lp=20</v>
      </c>
      <c r="G11" s="584" t="str">
        <f t="shared" si="4"/>
        <v>rokprognozy=2015 i lp=20</v>
      </c>
      <c r="H11" s="584" t="str">
        <f t="shared" si="4"/>
        <v>rokprognozy=2016 i lp=20</v>
      </c>
      <c r="I11" s="584" t="str">
        <f t="shared" si="4"/>
        <v>rokprognozy=2017 i lp=20</v>
      </c>
      <c r="J11" s="584" t="str">
        <f t="shared" si="4"/>
        <v>rokprognozy=2018 i lp=20</v>
      </c>
      <c r="K11" s="584" t="str">
        <f t="shared" si="4"/>
        <v>rokprognozy=2019 i lp=20</v>
      </c>
      <c r="L11" s="584" t="str">
        <f t="shared" si="4"/>
        <v>rokprognozy=2020 i lp=20</v>
      </c>
      <c r="M11" s="584" t="str">
        <f t="shared" si="4"/>
        <v>rokprognozy=2021 i lp=20</v>
      </c>
      <c r="N11" s="584" t="str">
        <f t="shared" si="1"/>
        <v>rokprognozy=2022 i lp=20</v>
      </c>
      <c r="O11" s="584" t="str">
        <f t="shared" si="1"/>
        <v>rokprognozy=2023 i lp=20</v>
      </c>
      <c r="P11" s="584" t="str">
        <f t="shared" si="1"/>
        <v>rokprognozy=2024 i lp=20</v>
      </c>
      <c r="Q11" s="584" t="str">
        <f t="shared" si="1"/>
        <v>rokprognozy=2025 i lp=20</v>
      </c>
      <c r="R11" s="584" t="str">
        <f t="shared" si="1"/>
        <v>rokprognozy=2026 i lp=20</v>
      </c>
      <c r="S11" s="584" t="str">
        <f t="shared" si="1"/>
        <v>rokprognozy=2027 i lp=20</v>
      </c>
      <c r="T11" s="584" t="str">
        <f t="shared" si="1"/>
        <v>rokprognozy=2028 i lp=20</v>
      </c>
      <c r="U11" s="584" t="str">
        <f t="shared" si="1"/>
        <v>rokprognozy=2029 i lp=20</v>
      </c>
      <c r="V11" s="584" t="str">
        <f t="shared" si="1"/>
        <v>rokprognozy=2030 i lp=20</v>
      </c>
      <c r="W11" s="584" t="str">
        <f t="shared" si="1"/>
        <v>rokprognozy=2031 i lp=20</v>
      </c>
      <c r="X11" s="584" t="str">
        <f t="shared" si="1"/>
        <v>rokprognozy=2032 i lp=20</v>
      </c>
      <c r="Y11" s="584" t="str">
        <f t="shared" si="1"/>
        <v>rokprognozy=2033 i lp=20</v>
      </c>
      <c r="Z11" s="584" t="str">
        <f t="shared" si="1"/>
        <v>rokprognozy=2034 i lp=20</v>
      </c>
      <c r="AA11" s="584" t="str">
        <f t="shared" si="1"/>
        <v>rokprognozy=2035 i lp=20</v>
      </c>
      <c r="AB11" s="584" t="str">
        <f t="shared" si="1"/>
        <v>rokprognozy=2036 i lp=20</v>
      </c>
      <c r="AC11" s="584" t="str">
        <f t="shared" si="1"/>
        <v>rokprognozy=2037 i lp=20</v>
      </c>
      <c r="AD11" s="584" t="str">
        <f t="shared" si="1"/>
        <v>rokprognozy=2038 i lp=20</v>
      </c>
      <c r="AE11" s="584" t="str">
        <f t="shared" si="1"/>
        <v>rokprognozy=2039 i lp=20</v>
      </c>
      <c r="AF11" s="584" t="str">
        <f t="shared" si="1"/>
        <v>rokprognozy=2040 i lp=20</v>
      </c>
      <c r="AG11" s="584" t="str">
        <f t="shared" si="1"/>
        <v>rokprognozy=2041 i lp=20</v>
      </c>
      <c r="AH11" s="584" t="str">
        <f t="shared" si="2"/>
        <v>rokprognozy=2042 i lp=20</v>
      </c>
    </row>
    <row r="12" spans="1:34" ht="12.75">
      <c r="A12" s="583">
        <v>30</v>
      </c>
      <c r="B12" s="583" t="s">
        <v>12</v>
      </c>
      <c r="C12" s="584" t="s">
        <v>384</v>
      </c>
      <c r="D12" s="584" t="str">
        <f t="shared" si="3"/>
        <v>rokprognozy=2013 i lp=30</v>
      </c>
      <c r="E12" s="584" t="str">
        <f t="shared" si="4"/>
        <v>rokprognozy=2013 i lp=30</v>
      </c>
      <c r="F12" s="584" t="str">
        <f t="shared" si="4"/>
        <v>rokprognozy=2014 i lp=30</v>
      </c>
      <c r="G12" s="584" t="str">
        <f t="shared" si="4"/>
        <v>rokprognozy=2015 i lp=30</v>
      </c>
      <c r="H12" s="584" t="str">
        <f t="shared" si="4"/>
        <v>rokprognozy=2016 i lp=30</v>
      </c>
      <c r="I12" s="584" t="str">
        <f t="shared" si="4"/>
        <v>rokprognozy=2017 i lp=30</v>
      </c>
      <c r="J12" s="584" t="str">
        <f t="shared" si="4"/>
        <v>rokprognozy=2018 i lp=30</v>
      </c>
      <c r="K12" s="584" t="str">
        <f t="shared" si="4"/>
        <v>rokprognozy=2019 i lp=30</v>
      </c>
      <c r="L12" s="584" t="str">
        <f t="shared" si="4"/>
        <v>rokprognozy=2020 i lp=30</v>
      </c>
      <c r="M12" s="584" t="str">
        <f t="shared" si="4"/>
        <v>rokprognozy=2021 i lp=30</v>
      </c>
      <c r="N12" s="584" t="str">
        <f t="shared" si="1"/>
        <v>rokprognozy=2022 i lp=30</v>
      </c>
      <c r="O12" s="584" t="str">
        <f t="shared" si="1"/>
        <v>rokprognozy=2023 i lp=30</v>
      </c>
      <c r="P12" s="584" t="str">
        <f t="shared" si="1"/>
        <v>rokprognozy=2024 i lp=30</v>
      </c>
      <c r="Q12" s="584" t="str">
        <f t="shared" si="1"/>
        <v>rokprognozy=2025 i lp=30</v>
      </c>
      <c r="R12" s="584" t="str">
        <f t="shared" si="1"/>
        <v>rokprognozy=2026 i lp=30</v>
      </c>
      <c r="S12" s="584" t="str">
        <f t="shared" si="1"/>
        <v>rokprognozy=2027 i lp=30</v>
      </c>
      <c r="T12" s="584" t="str">
        <f t="shared" si="1"/>
        <v>rokprognozy=2028 i lp=30</v>
      </c>
      <c r="U12" s="584" t="str">
        <f t="shared" si="1"/>
        <v>rokprognozy=2029 i lp=30</v>
      </c>
      <c r="V12" s="584" t="str">
        <f t="shared" si="1"/>
        <v>rokprognozy=2030 i lp=30</v>
      </c>
      <c r="W12" s="584" t="str">
        <f t="shared" si="1"/>
        <v>rokprognozy=2031 i lp=30</v>
      </c>
      <c r="X12" s="584" t="str">
        <f t="shared" si="1"/>
        <v>rokprognozy=2032 i lp=30</v>
      </c>
      <c r="Y12" s="584" t="str">
        <f t="shared" si="1"/>
        <v>rokprognozy=2033 i lp=30</v>
      </c>
      <c r="Z12" s="584" t="str">
        <f t="shared" si="1"/>
        <v>rokprognozy=2034 i lp=30</v>
      </c>
      <c r="AA12" s="584" t="str">
        <f t="shared" si="1"/>
        <v>rokprognozy=2035 i lp=30</v>
      </c>
      <c r="AB12" s="584" t="str">
        <f t="shared" si="1"/>
        <v>rokprognozy=2036 i lp=30</v>
      </c>
      <c r="AC12" s="584" t="str">
        <f t="shared" si="1"/>
        <v>rokprognozy=2037 i lp=30</v>
      </c>
      <c r="AD12" s="584" t="str">
        <f t="shared" si="1"/>
        <v>rokprognozy=2038 i lp=30</v>
      </c>
      <c r="AE12" s="584" t="str">
        <f t="shared" si="1"/>
        <v>rokprognozy=2039 i lp=30</v>
      </c>
      <c r="AF12" s="584" t="str">
        <f t="shared" si="1"/>
        <v>rokprognozy=2040 i lp=30</v>
      </c>
      <c r="AG12" s="584" t="str">
        <f t="shared" si="1"/>
        <v>rokprognozy=2041 i lp=30</v>
      </c>
      <c r="AH12" s="584" t="str">
        <f t="shared" si="2"/>
        <v>rokprognozy=2042 i lp=30</v>
      </c>
    </row>
    <row r="13" spans="1:34" ht="12.75">
      <c r="A13" s="583">
        <v>40</v>
      </c>
      <c r="B13" s="583" t="s">
        <v>14</v>
      </c>
      <c r="C13" s="584" t="s">
        <v>385</v>
      </c>
      <c r="D13" s="584" t="str">
        <f t="shared" si="3"/>
        <v>rokprognozy=2013 i lp=40</v>
      </c>
      <c r="E13" s="584" t="str">
        <f t="shared" si="4"/>
        <v>rokprognozy=2013 i lp=40</v>
      </c>
      <c r="F13" s="584" t="str">
        <f t="shared" si="4"/>
        <v>rokprognozy=2014 i lp=40</v>
      </c>
      <c r="G13" s="584" t="str">
        <f t="shared" si="4"/>
        <v>rokprognozy=2015 i lp=40</v>
      </c>
      <c r="H13" s="584" t="str">
        <f t="shared" si="4"/>
        <v>rokprognozy=2016 i lp=40</v>
      </c>
      <c r="I13" s="584" t="str">
        <f t="shared" si="4"/>
        <v>rokprognozy=2017 i lp=40</v>
      </c>
      <c r="J13" s="584" t="str">
        <f t="shared" si="4"/>
        <v>rokprognozy=2018 i lp=40</v>
      </c>
      <c r="K13" s="584" t="str">
        <f t="shared" si="4"/>
        <v>rokprognozy=2019 i lp=40</v>
      </c>
      <c r="L13" s="584" t="str">
        <f t="shared" si="4"/>
        <v>rokprognozy=2020 i lp=40</v>
      </c>
      <c r="M13" s="584" t="str">
        <f t="shared" si="4"/>
        <v>rokprognozy=2021 i lp=40</v>
      </c>
      <c r="N13" s="584" t="str">
        <f t="shared" si="1"/>
        <v>rokprognozy=2022 i lp=40</v>
      </c>
      <c r="O13" s="584" t="str">
        <f t="shared" si="1"/>
        <v>rokprognozy=2023 i lp=40</v>
      </c>
      <c r="P13" s="584" t="str">
        <f t="shared" si="1"/>
        <v>rokprognozy=2024 i lp=40</v>
      </c>
      <c r="Q13" s="584" t="str">
        <f t="shared" si="1"/>
        <v>rokprognozy=2025 i lp=40</v>
      </c>
      <c r="R13" s="584" t="str">
        <f t="shared" si="1"/>
        <v>rokprognozy=2026 i lp=40</v>
      </c>
      <c r="S13" s="584" t="str">
        <f t="shared" si="1"/>
        <v>rokprognozy=2027 i lp=40</v>
      </c>
      <c r="T13" s="584" t="str">
        <f t="shared" si="1"/>
        <v>rokprognozy=2028 i lp=40</v>
      </c>
      <c r="U13" s="584" t="str">
        <f t="shared" si="1"/>
        <v>rokprognozy=2029 i lp=40</v>
      </c>
      <c r="V13" s="584" t="str">
        <f t="shared" si="1"/>
        <v>rokprognozy=2030 i lp=40</v>
      </c>
      <c r="W13" s="584" t="str">
        <f t="shared" si="1"/>
        <v>rokprognozy=2031 i lp=40</v>
      </c>
      <c r="X13" s="584" t="str">
        <f t="shared" si="1"/>
        <v>rokprognozy=2032 i lp=40</v>
      </c>
      <c r="Y13" s="584" t="str">
        <f t="shared" si="1"/>
        <v>rokprognozy=2033 i lp=40</v>
      </c>
      <c r="Z13" s="584" t="str">
        <f t="shared" si="1"/>
        <v>rokprognozy=2034 i lp=40</v>
      </c>
      <c r="AA13" s="584" t="str">
        <f t="shared" si="1"/>
        <v>rokprognozy=2035 i lp=40</v>
      </c>
      <c r="AB13" s="584" t="str">
        <f t="shared" si="1"/>
        <v>rokprognozy=2036 i lp=40</v>
      </c>
      <c r="AC13" s="584" t="str">
        <f t="shared" si="1"/>
        <v>rokprognozy=2037 i lp=40</v>
      </c>
      <c r="AD13" s="584" t="str">
        <f t="shared" si="1"/>
        <v>rokprognozy=2038 i lp=40</v>
      </c>
      <c r="AE13" s="584" t="str">
        <f t="shared" si="1"/>
        <v>rokprognozy=2039 i lp=40</v>
      </c>
      <c r="AF13" s="584" t="str">
        <f t="shared" si="1"/>
        <v>rokprognozy=2040 i lp=40</v>
      </c>
      <c r="AG13" s="584" t="str">
        <f t="shared" si="1"/>
        <v>rokprognozy=2041 i lp=40</v>
      </c>
      <c r="AH13" s="584" t="str">
        <f t="shared" si="2"/>
        <v>rokprognozy=2042 i lp=40</v>
      </c>
    </row>
    <row r="14" spans="1:34" ht="12.75">
      <c r="A14" s="583">
        <v>50</v>
      </c>
      <c r="B14" s="583" t="s">
        <v>16</v>
      </c>
      <c r="C14" s="584" t="s">
        <v>386</v>
      </c>
      <c r="D14" s="584" t="str">
        <f t="shared" si="3"/>
        <v>rokprognozy=2013 i lp=50</v>
      </c>
      <c r="E14" s="584" t="str">
        <f t="shared" si="4"/>
        <v>rokprognozy=2013 i lp=50</v>
      </c>
      <c r="F14" s="584" t="str">
        <f t="shared" si="4"/>
        <v>rokprognozy=2014 i lp=50</v>
      </c>
      <c r="G14" s="584" t="str">
        <f t="shared" si="4"/>
        <v>rokprognozy=2015 i lp=50</v>
      </c>
      <c r="H14" s="584" t="str">
        <f t="shared" si="4"/>
        <v>rokprognozy=2016 i lp=50</v>
      </c>
      <c r="I14" s="584" t="str">
        <f t="shared" si="4"/>
        <v>rokprognozy=2017 i lp=50</v>
      </c>
      <c r="J14" s="584" t="str">
        <f t="shared" si="4"/>
        <v>rokprognozy=2018 i lp=50</v>
      </c>
      <c r="K14" s="584" t="str">
        <f t="shared" si="4"/>
        <v>rokprognozy=2019 i lp=50</v>
      </c>
      <c r="L14" s="584" t="str">
        <f t="shared" si="4"/>
        <v>rokprognozy=2020 i lp=50</v>
      </c>
      <c r="M14" s="584" t="str">
        <f t="shared" si="4"/>
        <v>rokprognozy=2021 i lp=50</v>
      </c>
      <c r="N14" s="584" t="str">
        <f t="shared" si="1"/>
        <v>rokprognozy=2022 i lp=50</v>
      </c>
      <c r="O14" s="584" t="str">
        <f t="shared" si="1"/>
        <v>rokprognozy=2023 i lp=50</v>
      </c>
      <c r="P14" s="584" t="str">
        <f t="shared" si="1"/>
        <v>rokprognozy=2024 i lp=50</v>
      </c>
      <c r="Q14" s="584" t="str">
        <f t="shared" si="1"/>
        <v>rokprognozy=2025 i lp=50</v>
      </c>
      <c r="R14" s="584" t="str">
        <f t="shared" si="1"/>
        <v>rokprognozy=2026 i lp=50</v>
      </c>
      <c r="S14" s="584" t="str">
        <f t="shared" si="1"/>
        <v>rokprognozy=2027 i lp=50</v>
      </c>
      <c r="T14" s="584" t="str">
        <f t="shared" si="1"/>
        <v>rokprognozy=2028 i lp=50</v>
      </c>
      <c r="U14" s="584" t="str">
        <f t="shared" si="1"/>
        <v>rokprognozy=2029 i lp=50</v>
      </c>
      <c r="V14" s="584" t="str">
        <f t="shared" si="1"/>
        <v>rokprognozy=2030 i lp=50</v>
      </c>
      <c r="W14" s="584" t="str">
        <f t="shared" si="1"/>
        <v>rokprognozy=2031 i lp=50</v>
      </c>
      <c r="X14" s="584" t="str">
        <f t="shared" si="1"/>
        <v>rokprognozy=2032 i lp=50</v>
      </c>
      <c r="Y14" s="584" t="str">
        <f t="shared" si="1"/>
        <v>rokprognozy=2033 i lp=50</v>
      </c>
      <c r="Z14" s="584" t="str">
        <f t="shared" si="1"/>
        <v>rokprognozy=2034 i lp=50</v>
      </c>
      <c r="AA14" s="584" t="str">
        <f t="shared" si="1"/>
        <v>rokprognozy=2035 i lp=50</v>
      </c>
      <c r="AB14" s="584" t="str">
        <f t="shared" si="1"/>
        <v>rokprognozy=2036 i lp=50</v>
      </c>
      <c r="AC14" s="584" t="str">
        <f t="shared" si="1"/>
        <v>rokprognozy=2037 i lp=50</v>
      </c>
      <c r="AD14" s="584" t="str">
        <f t="shared" si="1"/>
        <v>rokprognozy=2038 i lp=50</v>
      </c>
      <c r="AE14" s="584" t="str">
        <f t="shared" si="1"/>
        <v>rokprognozy=2039 i lp=50</v>
      </c>
      <c r="AF14" s="584" t="str">
        <f t="shared" si="1"/>
        <v>rokprognozy=2040 i lp=50</v>
      </c>
      <c r="AG14" s="584" t="str">
        <f t="shared" si="1"/>
        <v>rokprognozy=2041 i lp=50</v>
      </c>
      <c r="AH14" s="584" t="str">
        <f t="shared" si="2"/>
        <v>rokprognozy=2042 i lp=50</v>
      </c>
    </row>
    <row r="15" spans="1:34" ht="12.75">
      <c r="A15" s="583">
        <v>60</v>
      </c>
      <c r="B15" s="583" t="s">
        <v>18</v>
      </c>
      <c r="C15" s="584" t="s">
        <v>387</v>
      </c>
      <c r="D15" s="584" t="str">
        <f t="shared" si="3"/>
        <v>rokprognozy=2013 i lp=60</v>
      </c>
      <c r="E15" s="584" t="str">
        <f t="shared" si="4"/>
        <v>rokprognozy=2013 i lp=60</v>
      </c>
      <c r="F15" s="584" t="str">
        <f t="shared" si="4"/>
        <v>rokprognozy=2014 i lp=60</v>
      </c>
      <c r="G15" s="584" t="str">
        <f t="shared" si="4"/>
        <v>rokprognozy=2015 i lp=60</v>
      </c>
      <c r="H15" s="584" t="str">
        <f t="shared" si="4"/>
        <v>rokprognozy=2016 i lp=60</v>
      </c>
      <c r="I15" s="584" t="str">
        <f t="shared" si="4"/>
        <v>rokprognozy=2017 i lp=60</v>
      </c>
      <c r="J15" s="584" t="str">
        <f t="shared" si="4"/>
        <v>rokprognozy=2018 i lp=60</v>
      </c>
      <c r="K15" s="584" t="str">
        <f t="shared" si="4"/>
        <v>rokprognozy=2019 i lp=60</v>
      </c>
      <c r="L15" s="584" t="str">
        <f t="shared" si="4"/>
        <v>rokprognozy=2020 i lp=60</v>
      </c>
      <c r="M15" s="584" t="str">
        <f t="shared" si="4"/>
        <v>rokprognozy=2021 i lp=60</v>
      </c>
      <c r="N15" s="584" t="str">
        <f t="shared" si="1"/>
        <v>rokprognozy=2022 i lp=60</v>
      </c>
      <c r="O15" s="584" t="str">
        <f t="shared" si="1"/>
        <v>rokprognozy=2023 i lp=60</v>
      </c>
      <c r="P15" s="584" t="str">
        <f t="shared" si="1"/>
        <v>rokprognozy=2024 i lp=60</v>
      </c>
      <c r="Q15" s="584" t="str">
        <f t="shared" si="1"/>
        <v>rokprognozy=2025 i lp=60</v>
      </c>
      <c r="R15" s="584" t="str">
        <f t="shared" si="1"/>
        <v>rokprognozy=2026 i lp=60</v>
      </c>
      <c r="S15" s="584" t="str">
        <f t="shared" si="1"/>
        <v>rokprognozy=2027 i lp=60</v>
      </c>
      <c r="T15" s="584" t="str">
        <f t="shared" si="1"/>
        <v>rokprognozy=2028 i lp=60</v>
      </c>
      <c r="U15" s="584" t="str">
        <f t="shared" si="1"/>
        <v>rokprognozy=2029 i lp=60</v>
      </c>
      <c r="V15" s="584" t="str">
        <f t="shared" si="1"/>
        <v>rokprognozy=2030 i lp=60</v>
      </c>
      <c r="W15" s="584" t="str">
        <f t="shared" si="1"/>
        <v>rokprognozy=2031 i lp=60</v>
      </c>
      <c r="X15" s="584" t="str">
        <f t="shared" si="1"/>
        <v>rokprognozy=2032 i lp=60</v>
      </c>
      <c r="Y15" s="584" t="str">
        <f t="shared" si="1"/>
        <v>rokprognozy=2033 i lp=60</v>
      </c>
      <c r="Z15" s="584" t="str">
        <f t="shared" si="1"/>
        <v>rokprognozy=2034 i lp=60</v>
      </c>
      <c r="AA15" s="584" t="str">
        <f t="shared" si="1"/>
        <v>rokprognozy=2035 i lp=60</v>
      </c>
      <c r="AB15" s="584" t="str">
        <f t="shared" si="1"/>
        <v>rokprognozy=2036 i lp=60</v>
      </c>
      <c r="AC15" s="584" t="str">
        <f t="shared" si="1"/>
        <v>rokprognozy=2037 i lp=60</v>
      </c>
      <c r="AD15" s="584" t="str">
        <f t="shared" si="1"/>
        <v>rokprognozy=2038 i lp=60</v>
      </c>
      <c r="AE15" s="584" t="str">
        <f t="shared" si="1"/>
        <v>rokprognozy=2039 i lp=60</v>
      </c>
      <c r="AF15" s="584" t="str">
        <f t="shared" si="1"/>
        <v>rokprognozy=2040 i lp=60</v>
      </c>
      <c r="AG15" s="584" t="str">
        <f t="shared" si="1"/>
        <v>rokprognozy=2041 i lp=60</v>
      </c>
      <c r="AH15" s="584" t="str">
        <f t="shared" si="2"/>
        <v>rokprognozy=2042 i lp=60</v>
      </c>
    </row>
    <row r="16" spans="1:34" ht="12.75">
      <c r="A16" s="583">
        <v>70</v>
      </c>
      <c r="B16" s="583" t="s">
        <v>20</v>
      </c>
      <c r="C16" s="584" t="s">
        <v>388</v>
      </c>
      <c r="D16" s="584" t="str">
        <f t="shared" si="3"/>
        <v>rokprognozy=2013 i lp=70</v>
      </c>
      <c r="E16" s="584" t="str">
        <f t="shared" si="4"/>
        <v>rokprognozy=2013 i lp=70</v>
      </c>
      <c r="F16" s="584" t="str">
        <f t="shared" si="4"/>
        <v>rokprognozy=2014 i lp=70</v>
      </c>
      <c r="G16" s="584" t="str">
        <f t="shared" si="4"/>
        <v>rokprognozy=2015 i lp=70</v>
      </c>
      <c r="H16" s="584" t="str">
        <f t="shared" si="4"/>
        <v>rokprognozy=2016 i lp=70</v>
      </c>
      <c r="I16" s="584" t="str">
        <f t="shared" si="4"/>
        <v>rokprognozy=2017 i lp=70</v>
      </c>
      <c r="J16" s="584" t="str">
        <f t="shared" si="4"/>
        <v>rokprognozy=2018 i lp=70</v>
      </c>
      <c r="K16" s="584" t="str">
        <f t="shared" si="4"/>
        <v>rokprognozy=2019 i lp=70</v>
      </c>
      <c r="L16" s="584" t="str">
        <f t="shared" si="4"/>
        <v>rokprognozy=2020 i lp=70</v>
      </c>
      <c r="M16" s="584" t="str">
        <f t="shared" si="4"/>
        <v>rokprognozy=2021 i lp=70</v>
      </c>
      <c r="N16" s="584" t="str">
        <f t="shared" si="1"/>
        <v>rokprognozy=2022 i lp=70</v>
      </c>
      <c r="O16" s="584" t="str">
        <f t="shared" si="1"/>
        <v>rokprognozy=2023 i lp=70</v>
      </c>
      <c r="P16" s="584" t="str">
        <f t="shared" si="1"/>
        <v>rokprognozy=2024 i lp=70</v>
      </c>
      <c r="Q16" s="584" t="str">
        <f t="shared" si="1"/>
        <v>rokprognozy=2025 i lp=70</v>
      </c>
      <c r="R16" s="584" t="str">
        <f t="shared" si="1"/>
        <v>rokprognozy=2026 i lp=70</v>
      </c>
      <c r="S16" s="584" t="str">
        <f t="shared" si="1"/>
        <v>rokprognozy=2027 i lp=70</v>
      </c>
      <c r="T16" s="584" t="str">
        <f t="shared" si="1"/>
        <v>rokprognozy=2028 i lp=70</v>
      </c>
      <c r="U16" s="584" t="str">
        <f t="shared" si="1"/>
        <v>rokprognozy=2029 i lp=70</v>
      </c>
      <c r="V16" s="584" t="str">
        <f t="shared" si="1"/>
        <v>rokprognozy=2030 i lp=70</v>
      </c>
      <c r="W16" s="584" t="str">
        <f t="shared" si="1"/>
        <v>rokprognozy=2031 i lp=70</v>
      </c>
      <c r="X16" s="584" t="str">
        <f t="shared" si="1"/>
        <v>rokprognozy=2032 i lp=70</v>
      </c>
      <c r="Y16" s="584" t="str">
        <f t="shared" si="1"/>
        <v>rokprognozy=2033 i lp=70</v>
      </c>
      <c r="Z16" s="584" t="str">
        <f t="shared" si="1"/>
        <v>rokprognozy=2034 i lp=70</v>
      </c>
      <c r="AA16" s="584" t="str">
        <f t="shared" si="1"/>
        <v>rokprognozy=2035 i lp=70</v>
      </c>
      <c r="AB16" s="584" t="str">
        <f t="shared" si="1"/>
        <v>rokprognozy=2036 i lp=70</v>
      </c>
      <c r="AC16" s="584" t="str">
        <f t="shared" si="1"/>
        <v>rokprognozy=2037 i lp=70</v>
      </c>
      <c r="AD16" s="584" t="str">
        <f t="shared" si="1"/>
        <v>rokprognozy=2038 i lp=70</v>
      </c>
      <c r="AE16" s="584" t="str">
        <f t="shared" si="1"/>
        <v>rokprognozy=2039 i lp=70</v>
      </c>
      <c r="AF16" s="584" t="str">
        <f t="shared" si="1"/>
        <v>rokprognozy=2040 i lp=70</v>
      </c>
      <c r="AG16" s="584" t="str">
        <f t="shared" si="1"/>
        <v>rokprognozy=2041 i lp=70</v>
      </c>
      <c r="AH16" s="584" t="str">
        <f t="shared" si="2"/>
        <v>rokprognozy=2042 i lp=70</v>
      </c>
    </row>
    <row r="17" spans="1:34" ht="12.75">
      <c r="A17" s="583">
        <v>80</v>
      </c>
      <c r="B17" s="583" t="s">
        <v>22</v>
      </c>
      <c r="C17" s="584" t="s">
        <v>389</v>
      </c>
      <c r="D17" s="584" t="str">
        <f t="shared" si="3"/>
        <v>rokprognozy=2013 i lp=80</v>
      </c>
      <c r="E17" s="584" t="str">
        <f t="shared" si="4"/>
        <v>rokprognozy=2013 i lp=80</v>
      </c>
      <c r="F17" s="584" t="str">
        <f t="shared" si="4"/>
        <v>rokprognozy=2014 i lp=80</v>
      </c>
      <c r="G17" s="584" t="str">
        <f t="shared" si="4"/>
        <v>rokprognozy=2015 i lp=80</v>
      </c>
      <c r="H17" s="584" t="str">
        <f t="shared" si="4"/>
        <v>rokprognozy=2016 i lp=80</v>
      </c>
      <c r="I17" s="584" t="str">
        <f t="shared" si="4"/>
        <v>rokprognozy=2017 i lp=80</v>
      </c>
      <c r="J17" s="584" t="str">
        <f t="shared" si="4"/>
        <v>rokprognozy=2018 i lp=80</v>
      </c>
      <c r="K17" s="584" t="str">
        <f t="shared" si="4"/>
        <v>rokprognozy=2019 i lp=80</v>
      </c>
      <c r="L17" s="584" t="str">
        <f t="shared" si="4"/>
        <v>rokprognozy=2020 i lp=80</v>
      </c>
      <c r="M17" s="584" t="str">
        <f t="shared" si="4"/>
        <v>rokprognozy=2021 i lp=80</v>
      </c>
      <c r="N17" s="584" t="str">
        <f t="shared" si="1"/>
        <v>rokprognozy=2022 i lp=80</v>
      </c>
      <c r="O17" s="584" t="str">
        <f t="shared" si="1"/>
        <v>rokprognozy=2023 i lp=80</v>
      </c>
      <c r="P17" s="584" t="str">
        <f t="shared" si="1"/>
        <v>rokprognozy=2024 i lp=80</v>
      </c>
      <c r="Q17" s="584" t="str">
        <f t="shared" si="1"/>
        <v>rokprognozy=2025 i lp=80</v>
      </c>
      <c r="R17" s="584" t="str">
        <f t="shared" si="1"/>
        <v>rokprognozy=2026 i lp=80</v>
      </c>
      <c r="S17" s="584" t="str">
        <f t="shared" si="1"/>
        <v>rokprognozy=2027 i lp=80</v>
      </c>
      <c r="T17" s="584" t="str">
        <f t="shared" si="1"/>
        <v>rokprognozy=2028 i lp=80</v>
      </c>
      <c r="U17" s="584" t="str">
        <f t="shared" si="1"/>
        <v>rokprognozy=2029 i lp=80</v>
      </c>
      <c r="V17" s="584" t="str">
        <f t="shared" si="1"/>
        <v>rokprognozy=2030 i lp=80</v>
      </c>
      <c r="W17" s="584" t="str">
        <f t="shared" si="1"/>
        <v>rokprognozy=2031 i lp=80</v>
      </c>
      <c r="X17" s="584" t="str">
        <f t="shared" si="1"/>
        <v>rokprognozy=2032 i lp=80</v>
      </c>
      <c r="Y17" s="584" t="str">
        <f t="shared" si="1"/>
        <v>rokprognozy=2033 i lp=80</v>
      </c>
      <c r="Z17" s="584" t="str">
        <f t="shared" si="1"/>
        <v>rokprognozy=2034 i lp=80</v>
      </c>
      <c r="AA17" s="584" t="str">
        <f t="shared" si="1"/>
        <v>rokprognozy=2035 i lp=80</v>
      </c>
      <c r="AB17" s="584" t="str">
        <f t="shared" si="1"/>
        <v>rokprognozy=2036 i lp=80</v>
      </c>
      <c r="AC17" s="584" t="str">
        <f t="shared" si="1"/>
        <v>rokprognozy=2037 i lp=80</v>
      </c>
      <c r="AD17" s="584" t="str">
        <f t="shared" si="1"/>
        <v>rokprognozy=2038 i lp=80</v>
      </c>
      <c r="AE17" s="584" t="str">
        <f t="shared" si="1"/>
        <v>rokprognozy=2039 i lp=80</v>
      </c>
      <c r="AF17" s="584" t="str">
        <f t="shared" si="1"/>
        <v>rokprognozy=2040 i lp=80</v>
      </c>
      <c r="AG17" s="584" t="str">
        <f t="shared" si="1"/>
        <v>rokprognozy=2041 i lp=80</v>
      </c>
      <c r="AH17" s="584" t="str">
        <f t="shared" si="2"/>
        <v>rokprognozy=2042 i lp=80</v>
      </c>
    </row>
    <row r="18" spans="1:34" ht="12.75">
      <c r="A18" s="583">
        <v>90</v>
      </c>
      <c r="B18" s="583">
        <v>1.2</v>
      </c>
      <c r="C18" s="584" t="s">
        <v>390</v>
      </c>
      <c r="D18" s="584" t="str">
        <f t="shared" si="3"/>
        <v>rokprognozy=2013 i lp=90</v>
      </c>
      <c r="E18" s="584" t="str">
        <f t="shared" si="4"/>
        <v>rokprognozy=2013 i lp=90</v>
      </c>
      <c r="F18" s="584" t="str">
        <f t="shared" si="4"/>
        <v>rokprognozy=2014 i lp=90</v>
      </c>
      <c r="G18" s="584" t="str">
        <f t="shared" si="4"/>
        <v>rokprognozy=2015 i lp=90</v>
      </c>
      <c r="H18" s="584" t="str">
        <f t="shared" si="4"/>
        <v>rokprognozy=2016 i lp=90</v>
      </c>
      <c r="I18" s="584" t="str">
        <f t="shared" si="4"/>
        <v>rokprognozy=2017 i lp=90</v>
      </c>
      <c r="J18" s="584" t="str">
        <f t="shared" si="4"/>
        <v>rokprognozy=2018 i lp=90</v>
      </c>
      <c r="K18" s="584" t="str">
        <f t="shared" si="4"/>
        <v>rokprognozy=2019 i lp=90</v>
      </c>
      <c r="L18" s="584" t="str">
        <f t="shared" si="4"/>
        <v>rokprognozy=2020 i lp=90</v>
      </c>
      <c r="M18" s="584" t="str">
        <f t="shared" si="4"/>
        <v>rokprognozy=2021 i lp=90</v>
      </c>
      <c r="N18" s="584" t="str">
        <f t="shared" si="1"/>
        <v>rokprognozy=2022 i lp=90</v>
      </c>
      <c r="O18" s="584" t="str">
        <f t="shared" si="1"/>
        <v>rokprognozy=2023 i lp=90</v>
      </c>
      <c r="P18" s="584" t="str">
        <f t="shared" si="1"/>
        <v>rokprognozy=2024 i lp=90</v>
      </c>
      <c r="Q18" s="584" t="str">
        <f t="shared" si="1"/>
        <v>rokprognozy=2025 i lp=90</v>
      </c>
      <c r="R18" s="584" t="str">
        <f t="shared" si="1"/>
        <v>rokprognozy=2026 i lp=90</v>
      </c>
      <c r="S18" s="584" t="str">
        <f t="shared" si="1"/>
        <v>rokprognozy=2027 i lp=90</v>
      </c>
      <c r="T18" s="584" t="str">
        <f t="shared" si="1"/>
        <v>rokprognozy=2028 i lp=90</v>
      </c>
      <c r="U18" s="584" t="str">
        <f t="shared" si="1"/>
        <v>rokprognozy=2029 i lp=90</v>
      </c>
      <c r="V18" s="584" t="str">
        <f t="shared" si="1"/>
        <v>rokprognozy=2030 i lp=90</v>
      </c>
      <c r="W18" s="584" t="str">
        <f t="shared" si="1"/>
        <v>rokprognozy=2031 i lp=90</v>
      </c>
      <c r="X18" s="584" t="str">
        <f t="shared" si="1"/>
        <v>rokprognozy=2032 i lp=90</v>
      </c>
      <c r="Y18" s="584" t="str">
        <f t="shared" si="1"/>
        <v>rokprognozy=2033 i lp=90</v>
      </c>
      <c r="Z18" s="584" t="str">
        <f t="shared" si="1"/>
        <v>rokprognozy=2034 i lp=90</v>
      </c>
      <c r="AA18" s="584" t="str">
        <f t="shared" si="1"/>
        <v>rokprognozy=2035 i lp=90</v>
      </c>
      <c r="AB18" s="584" t="str">
        <f t="shared" si="1"/>
        <v>rokprognozy=2036 i lp=90</v>
      </c>
      <c r="AC18" s="584" t="str">
        <f t="shared" si="1"/>
        <v>rokprognozy=2037 i lp=90</v>
      </c>
      <c r="AD18" s="584" t="str">
        <f t="shared" si="1"/>
        <v>rokprognozy=2038 i lp=90</v>
      </c>
      <c r="AE18" s="584" t="str">
        <f t="shared" si="1"/>
        <v>rokprognozy=2039 i lp=90</v>
      </c>
      <c r="AF18" s="584" t="str">
        <f t="shared" si="1"/>
        <v>rokprognozy=2040 i lp=90</v>
      </c>
      <c r="AG18" s="584" t="str">
        <f t="shared" si="1"/>
        <v>rokprognozy=2041 i lp=90</v>
      </c>
      <c r="AH18" s="584" t="str">
        <f t="shared" si="2"/>
        <v>rokprognozy=2042 i lp=90</v>
      </c>
    </row>
    <row r="19" spans="1:34" ht="12.75">
      <c r="A19" s="583">
        <v>100</v>
      </c>
      <c r="B19" s="583" t="s">
        <v>26</v>
      </c>
      <c r="C19" s="584" t="s">
        <v>391</v>
      </c>
      <c r="D19" s="584" t="str">
        <f t="shared" si="3"/>
        <v>rokprognozy=2013 i lp=100</v>
      </c>
      <c r="E19" s="584" t="str">
        <f t="shared" si="4"/>
        <v>rokprognozy=2013 i lp=100</v>
      </c>
      <c r="F19" s="584" t="str">
        <f t="shared" si="4"/>
        <v>rokprognozy=2014 i lp=100</v>
      </c>
      <c r="G19" s="584" t="str">
        <f t="shared" si="4"/>
        <v>rokprognozy=2015 i lp=100</v>
      </c>
      <c r="H19" s="584" t="str">
        <f t="shared" si="4"/>
        <v>rokprognozy=2016 i lp=100</v>
      </c>
      <c r="I19" s="584" t="str">
        <f t="shared" si="4"/>
        <v>rokprognozy=2017 i lp=100</v>
      </c>
      <c r="J19" s="584" t="str">
        <f t="shared" si="4"/>
        <v>rokprognozy=2018 i lp=100</v>
      </c>
      <c r="K19" s="584" t="str">
        <f t="shared" si="4"/>
        <v>rokprognozy=2019 i lp=100</v>
      </c>
      <c r="L19" s="584" t="str">
        <f t="shared" si="4"/>
        <v>rokprognozy=2020 i lp=100</v>
      </c>
      <c r="M19" s="584" t="str">
        <f t="shared" si="4"/>
        <v>rokprognozy=2021 i lp=100</v>
      </c>
      <c r="N19" s="584" t="str">
        <f t="shared" si="1"/>
        <v>rokprognozy=2022 i lp=100</v>
      </c>
      <c r="O19" s="584" t="str">
        <f t="shared" si="1"/>
        <v>rokprognozy=2023 i lp=100</v>
      </c>
      <c r="P19" s="584" t="str">
        <f t="shared" si="1"/>
        <v>rokprognozy=2024 i lp=100</v>
      </c>
      <c r="Q19" s="584" t="str">
        <f t="shared" si="1"/>
        <v>rokprognozy=2025 i lp=100</v>
      </c>
      <c r="R19" s="584" t="str">
        <f t="shared" si="1"/>
        <v>rokprognozy=2026 i lp=100</v>
      </c>
      <c r="S19" s="584" t="str">
        <f t="shared" si="1"/>
        <v>rokprognozy=2027 i lp=100</v>
      </c>
      <c r="T19" s="584" t="str">
        <f t="shared" si="1"/>
        <v>rokprognozy=2028 i lp=100</v>
      </c>
      <c r="U19" s="584" t="str">
        <f t="shared" si="1"/>
        <v>rokprognozy=2029 i lp=100</v>
      </c>
      <c r="V19" s="584" t="str">
        <f t="shared" si="1"/>
        <v>rokprognozy=2030 i lp=100</v>
      </c>
      <c r="W19" s="584" t="str">
        <f t="shared" si="1"/>
        <v>rokprognozy=2031 i lp=100</v>
      </c>
      <c r="X19" s="584" t="str">
        <f t="shared" si="1"/>
        <v>rokprognozy=2032 i lp=100</v>
      </c>
      <c r="Y19" s="584" t="str">
        <f t="shared" si="1"/>
        <v>rokprognozy=2033 i lp=100</v>
      </c>
      <c r="Z19" s="584" t="str">
        <f t="shared" si="1"/>
        <v>rokprognozy=2034 i lp=100</v>
      </c>
      <c r="AA19" s="584" t="str">
        <f t="shared" si="1"/>
        <v>rokprognozy=2035 i lp=100</v>
      </c>
      <c r="AB19" s="584" t="str">
        <f t="shared" si="1"/>
        <v>rokprognozy=2036 i lp=100</v>
      </c>
      <c r="AC19" s="584" t="str">
        <f t="shared" si="1"/>
        <v>rokprognozy=2037 i lp=100</v>
      </c>
      <c r="AD19" s="584" t="str">
        <f t="shared" si="1"/>
        <v>rokprognozy=2038 i lp=100</v>
      </c>
      <c r="AE19" s="584" t="str">
        <f t="shared" si="1"/>
        <v>rokprognozy=2039 i lp=100</v>
      </c>
      <c r="AF19" s="584" t="str">
        <f t="shared" si="1"/>
        <v>rokprognozy=2040 i lp=100</v>
      </c>
      <c r="AG19" s="584" t="str">
        <f t="shared" si="1"/>
        <v>rokprognozy=2041 i lp=100</v>
      </c>
      <c r="AH19" s="584" t="str">
        <f t="shared" si="2"/>
        <v>rokprognozy=2042 i lp=100</v>
      </c>
    </row>
    <row r="20" spans="1:34" ht="12.75">
      <c r="A20" s="583">
        <v>110</v>
      </c>
      <c r="B20" s="583" t="s">
        <v>28</v>
      </c>
      <c r="C20" s="584" t="s">
        <v>392</v>
      </c>
      <c r="D20" s="584" t="str">
        <f t="shared" si="3"/>
        <v>rokprognozy=2013 i lp=110</v>
      </c>
      <c r="E20" s="584" t="str">
        <f t="shared" si="4"/>
        <v>rokprognozy=2013 i lp=110</v>
      </c>
      <c r="F20" s="584" t="str">
        <f t="shared" si="4"/>
        <v>rokprognozy=2014 i lp=110</v>
      </c>
      <c r="G20" s="584" t="str">
        <f t="shared" si="4"/>
        <v>rokprognozy=2015 i lp=110</v>
      </c>
      <c r="H20" s="584" t="str">
        <f t="shared" si="4"/>
        <v>rokprognozy=2016 i lp=110</v>
      </c>
      <c r="I20" s="584" t="str">
        <f t="shared" si="4"/>
        <v>rokprognozy=2017 i lp=110</v>
      </c>
      <c r="J20" s="584" t="str">
        <f t="shared" si="4"/>
        <v>rokprognozy=2018 i lp=110</v>
      </c>
      <c r="K20" s="584" t="str">
        <f t="shared" si="4"/>
        <v>rokprognozy=2019 i lp=110</v>
      </c>
      <c r="L20" s="584" t="str">
        <f t="shared" si="4"/>
        <v>rokprognozy=2020 i lp=110</v>
      </c>
      <c r="M20" s="584" t="str">
        <f t="shared" si="4"/>
        <v>rokprognozy=2021 i lp=110</v>
      </c>
      <c r="N20" s="584" t="str">
        <f t="shared" si="1"/>
        <v>rokprognozy=2022 i lp=110</v>
      </c>
      <c r="O20" s="584" t="str">
        <f t="shared" si="1"/>
        <v>rokprognozy=2023 i lp=110</v>
      </c>
      <c r="P20" s="584" t="str">
        <f t="shared" si="1"/>
        <v>rokprognozy=2024 i lp=110</v>
      </c>
      <c r="Q20" s="584" t="str">
        <f t="shared" si="1"/>
        <v>rokprognozy=2025 i lp=110</v>
      </c>
      <c r="R20" s="584" t="str">
        <f t="shared" si="1"/>
        <v>rokprognozy=2026 i lp=110</v>
      </c>
      <c r="S20" s="584" t="str">
        <f t="shared" si="1"/>
        <v>rokprognozy=2027 i lp=110</v>
      </c>
      <c r="T20" s="584" t="str">
        <f t="shared" si="1"/>
        <v>rokprognozy=2028 i lp=110</v>
      </c>
      <c r="U20" s="584" t="str">
        <f t="shared" si="1"/>
        <v>rokprognozy=2029 i lp=110</v>
      </c>
      <c r="V20" s="584" t="str">
        <f t="shared" si="1"/>
        <v>rokprognozy=2030 i lp=110</v>
      </c>
      <c r="W20" s="584" t="str">
        <f t="shared" si="1"/>
        <v>rokprognozy=2031 i lp=110</v>
      </c>
      <c r="X20" s="584" t="str">
        <f t="shared" si="1"/>
        <v>rokprognozy=2032 i lp=110</v>
      </c>
      <c r="Y20" s="584" t="str">
        <f t="shared" si="1"/>
        <v>rokprognozy=2033 i lp=110</v>
      </c>
      <c r="Z20" s="584" t="str">
        <f t="shared" si="1"/>
        <v>rokprognozy=2034 i lp=110</v>
      </c>
      <c r="AA20" s="584" t="str">
        <f t="shared" si="1"/>
        <v>rokprognozy=2035 i lp=110</v>
      </c>
      <c r="AB20" s="584" t="str">
        <f t="shared" si="1"/>
        <v>rokprognozy=2036 i lp=110</v>
      </c>
      <c r="AC20" s="584" t="str">
        <f t="shared" si="1"/>
        <v>rokprognozy=2037 i lp=110</v>
      </c>
      <c r="AD20" s="584" t="str">
        <f t="shared" si="1"/>
        <v>rokprognozy=2038 i lp=110</v>
      </c>
      <c r="AE20" s="584" t="str">
        <f t="shared" si="1"/>
        <v>rokprognozy=2039 i lp=110</v>
      </c>
      <c r="AF20" s="584" t="str">
        <f t="shared" si="1"/>
        <v>rokprognozy=2040 i lp=110</v>
      </c>
      <c r="AG20" s="584" t="str">
        <f t="shared" si="1"/>
        <v>rokprognozy=2041 i lp=110</v>
      </c>
      <c r="AH20" s="584" t="str">
        <f t="shared" si="2"/>
        <v>rokprognozy=2042 i lp=110</v>
      </c>
    </row>
    <row r="21" spans="1:34" ht="12.75">
      <c r="A21" s="583">
        <v>120</v>
      </c>
      <c r="B21" s="583">
        <v>2</v>
      </c>
      <c r="C21" s="584" t="s">
        <v>30</v>
      </c>
      <c r="D21" s="584" t="str">
        <f t="shared" si="3"/>
        <v>rokprognozy=2013 i lp=120</v>
      </c>
      <c r="E21" s="584" t="str">
        <f t="shared" si="4"/>
        <v>rokprognozy=2013 i lp=120</v>
      </c>
      <c r="F21" s="584" t="str">
        <f t="shared" si="4"/>
        <v>rokprognozy=2014 i lp=120</v>
      </c>
      <c r="G21" s="584" t="str">
        <f t="shared" si="4"/>
        <v>rokprognozy=2015 i lp=120</v>
      </c>
      <c r="H21" s="584" t="str">
        <f t="shared" si="4"/>
        <v>rokprognozy=2016 i lp=120</v>
      </c>
      <c r="I21" s="584" t="str">
        <f t="shared" si="4"/>
        <v>rokprognozy=2017 i lp=120</v>
      </c>
      <c r="J21" s="584" t="str">
        <f t="shared" si="4"/>
        <v>rokprognozy=2018 i lp=120</v>
      </c>
      <c r="K21" s="584" t="str">
        <f t="shared" si="4"/>
        <v>rokprognozy=2019 i lp=120</v>
      </c>
      <c r="L21" s="584" t="str">
        <f t="shared" si="4"/>
        <v>rokprognozy=2020 i lp=120</v>
      </c>
      <c r="M21" s="584" t="str">
        <f t="shared" si="4"/>
        <v>rokprognozy=2021 i lp=120</v>
      </c>
      <c r="N21" s="584" t="str">
        <f t="shared" si="1"/>
        <v>rokprognozy=2022 i lp=120</v>
      </c>
      <c r="O21" s="584" t="str">
        <f t="shared" si="1"/>
        <v>rokprognozy=2023 i lp=120</v>
      </c>
      <c r="P21" s="584" t="str">
        <f t="shared" si="1"/>
        <v>rokprognozy=2024 i lp=120</v>
      </c>
      <c r="Q21" s="584" t="str">
        <f t="shared" si="1"/>
        <v>rokprognozy=2025 i lp=120</v>
      </c>
      <c r="R21" s="584" t="str">
        <f t="shared" si="1"/>
        <v>rokprognozy=2026 i lp=120</v>
      </c>
      <c r="S21" s="584" t="str">
        <f t="shared" si="1"/>
        <v>rokprognozy=2027 i lp=120</v>
      </c>
      <c r="T21" s="584" t="str">
        <f t="shared" si="1"/>
        <v>rokprognozy=2028 i lp=120</v>
      </c>
      <c r="U21" s="584" t="str">
        <f t="shared" si="1"/>
        <v>rokprognozy=2029 i lp=120</v>
      </c>
      <c r="V21" s="584" t="str">
        <f t="shared" si="1"/>
        <v>rokprognozy=2030 i lp=120</v>
      </c>
      <c r="W21" s="584" t="str">
        <f t="shared" si="1"/>
        <v>rokprognozy=2031 i lp=120</v>
      </c>
      <c r="X21" s="584" t="str">
        <f t="shared" si="1"/>
        <v>rokprognozy=2032 i lp=120</v>
      </c>
      <c r="Y21" s="584" t="str">
        <f t="shared" si="1"/>
        <v>rokprognozy=2033 i lp=120</v>
      </c>
      <c r="Z21" s="584" t="str">
        <f t="shared" si="1"/>
        <v>rokprognozy=2034 i lp=120</v>
      </c>
      <c r="AA21" s="584" t="str">
        <f t="shared" si="1"/>
        <v>rokprognozy=2035 i lp=120</v>
      </c>
      <c r="AB21" s="584" t="str">
        <f t="shared" si="1"/>
        <v>rokprognozy=2036 i lp=120</v>
      </c>
      <c r="AC21" s="584" t="str">
        <f t="shared" si="1"/>
        <v>rokprognozy=2037 i lp=120</v>
      </c>
      <c r="AD21" s="584" t="str">
        <f t="shared" si="1"/>
        <v>rokprognozy=2038 i lp=120</v>
      </c>
      <c r="AE21" s="584" t="str">
        <f t="shared" si="1"/>
        <v>rokprognozy=2039 i lp=120</v>
      </c>
      <c r="AF21" s="584" t="str">
        <f t="shared" si="1"/>
        <v>rokprognozy=2040 i lp=120</v>
      </c>
      <c r="AG21" s="584" t="str">
        <f t="shared" si="1"/>
        <v>rokprognozy=2041 i lp=120</v>
      </c>
      <c r="AH21" s="584" t="str">
        <f t="shared" si="2"/>
        <v>rokprognozy=2042 i lp=120</v>
      </c>
    </row>
    <row r="22" spans="1:34" ht="12.75">
      <c r="A22" s="583">
        <v>130</v>
      </c>
      <c r="B22" s="583">
        <v>2.1</v>
      </c>
      <c r="C22" s="584" t="s">
        <v>393</v>
      </c>
      <c r="D22" s="584" t="str">
        <f t="shared" si="3"/>
        <v>rokprognozy=2013 i lp=130</v>
      </c>
      <c r="E22" s="584" t="str">
        <f t="shared" si="4"/>
        <v>rokprognozy=2013 i lp=130</v>
      </c>
      <c r="F22" s="584" t="str">
        <f t="shared" si="4"/>
        <v>rokprognozy=2014 i lp=130</v>
      </c>
      <c r="G22" s="584" t="str">
        <f t="shared" si="4"/>
        <v>rokprognozy=2015 i lp=130</v>
      </c>
      <c r="H22" s="584" t="str">
        <f t="shared" si="4"/>
        <v>rokprognozy=2016 i lp=130</v>
      </c>
      <c r="I22" s="584" t="str">
        <f t="shared" si="4"/>
        <v>rokprognozy=2017 i lp=130</v>
      </c>
      <c r="J22" s="584" t="str">
        <f t="shared" si="4"/>
        <v>rokprognozy=2018 i lp=130</v>
      </c>
      <c r="K22" s="584" t="str">
        <f t="shared" si="4"/>
        <v>rokprognozy=2019 i lp=130</v>
      </c>
      <c r="L22" s="584" t="str">
        <f t="shared" si="4"/>
        <v>rokprognozy=2020 i lp=130</v>
      </c>
      <c r="M22" s="584" t="str">
        <f t="shared" si="4"/>
        <v>rokprognozy=2021 i lp=130</v>
      </c>
      <c r="N22" s="584" t="str">
        <f t="shared" si="1"/>
        <v>rokprognozy=2022 i lp=130</v>
      </c>
      <c r="O22" s="584" t="str">
        <f t="shared" si="1"/>
        <v>rokprognozy=2023 i lp=130</v>
      </c>
      <c r="P22" s="584" t="str">
        <f t="shared" si="1"/>
        <v>rokprognozy=2024 i lp=130</v>
      </c>
      <c r="Q22" s="584" t="str">
        <f t="shared" si="1"/>
        <v>rokprognozy=2025 i lp=130</v>
      </c>
      <c r="R22" s="584" t="str">
        <f t="shared" si="1"/>
        <v>rokprognozy=2026 i lp=130</v>
      </c>
      <c r="S22" s="584" t="str">
        <f t="shared" si="1"/>
        <v>rokprognozy=2027 i lp=130</v>
      </c>
      <c r="T22" s="584" t="str">
        <f aca="true" t="shared" si="5" ref="T22:AH22">+"rokprognozy="&amp;T$9&amp;" i lp="&amp;$A22</f>
        <v>rokprognozy=2028 i lp=130</v>
      </c>
      <c r="U22" s="584" t="str">
        <f t="shared" si="5"/>
        <v>rokprognozy=2029 i lp=130</v>
      </c>
      <c r="V22" s="584" t="str">
        <f t="shared" si="5"/>
        <v>rokprognozy=2030 i lp=130</v>
      </c>
      <c r="W22" s="584" t="str">
        <f t="shared" si="5"/>
        <v>rokprognozy=2031 i lp=130</v>
      </c>
      <c r="X22" s="584" t="str">
        <f t="shared" si="5"/>
        <v>rokprognozy=2032 i lp=130</v>
      </c>
      <c r="Y22" s="584" t="str">
        <f t="shared" si="5"/>
        <v>rokprognozy=2033 i lp=130</v>
      </c>
      <c r="Z22" s="584" t="str">
        <f t="shared" si="5"/>
        <v>rokprognozy=2034 i lp=130</v>
      </c>
      <c r="AA22" s="584" t="str">
        <f t="shared" si="5"/>
        <v>rokprognozy=2035 i lp=130</v>
      </c>
      <c r="AB22" s="584" t="str">
        <f t="shared" si="5"/>
        <v>rokprognozy=2036 i lp=130</v>
      </c>
      <c r="AC22" s="584" t="str">
        <f t="shared" si="5"/>
        <v>rokprognozy=2037 i lp=130</v>
      </c>
      <c r="AD22" s="584" t="str">
        <f t="shared" si="5"/>
        <v>rokprognozy=2038 i lp=130</v>
      </c>
      <c r="AE22" s="584" t="str">
        <f t="shared" si="5"/>
        <v>rokprognozy=2039 i lp=130</v>
      </c>
      <c r="AF22" s="584" t="str">
        <f t="shared" si="5"/>
        <v>rokprognozy=2040 i lp=130</v>
      </c>
      <c r="AG22" s="584" t="str">
        <f t="shared" si="5"/>
        <v>rokprognozy=2041 i lp=130</v>
      </c>
      <c r="AH22" s="584" t="str">
        <f t="shared" si="5"/>
        <v>rokprognozy=2042 i lp=130</v>
      </c>
    </row>
    <row r="23" spans="1:34" ht="12.75">
      <c r="A23" s="583">
        <v>140</v>
      </c>
      <c r="B23" s="583" t="s">
        <v>33</v>
      </c>
      <c r="C23" s="584" t="s">
        <v>394</v>
      </c>
      <c r="D23" s="584" t="str">
        <f t="shared" si="3"/>
        <v>rokprognozy=2013 i lp=140</v>
      </c>
      <c r="E23" s="584" t="str">
        <f t="shared" si="4"/>
        <v>rokprognozy=2013 i lp=140</v>
      </c>
      <c r="F23" s="584" t="str">
        <f t="shared" si="4"/>
        <v>rokprognozy=2014 i lp=140</v>
      </c>
      <c r="G23" s="584" t="str">
        <f t="shared" si="4"/>
        <v>rokprognozy=2015 i lp=140</v>
      </c>
      <c r="H23" s="584" t="str">
        <f t="shared" si="4"/>
        <v>rokprognozy=2016 i lp=140</v>
      </c>
      <c r="I23" s="584" t="str">
        <f t="shared" si="4"/>
        <v>rokprognozy=2017 i lp=140</v>
      </c>
      <c r="J23" s="584" t="str">
        <f t="shared" si="4"/>
        <v>rokprognozy=2018 i lp=140</v>
      </c>
      <c r="K23" s="584" t="str">
        <f t="shared" si="4"/>
        <v>rokprognozy=2019 i lp=140</v>
      </c>
      <c r="L23" s="584" t="str">
        <f t="shared" si="4"/>
        <v>rokprognozy=2020 i lp=140</v>
      </c>
      <c r="M23" s="584" t="str">
        <f t="shared" si="4"/>
        <v>rokprognozy=2021 i lp=140</v>
      </c>
      <c r="N23" s="584" t="str">
        <f aca="true" t="shared" si="6" ref="N23:AC38">+"rokprognozy="&amp;N$9&amp;" i lp="&amp;$A23</f>
        <v>rokprognozy=2022 i lp=140</v>
      </c>
      <c r="O23" s="584" t="str">
        <f t="shared" si="6"/>
        <v>rokprognozy=2023 i lp=140</v>
      </c>
      <c r="P23" s="584" t="str">
        <f t="shared" si="6"/>
        <v>rokprognozy=2024 i lp=140</v>
      </c>
      <c r="Q23" s="584" t="str">
        <f t="shared" si="6"/>
        <v>rokprognozy=2025 i lp=140</v>
      </c>
      <c r="R23" s="584" t="str">
        <f t="shared" si="6"/>
        <v>rokprognozy=2026 i lp=140</v>
      </c>
      <c r="S23" s="584" t="str">
        <f t="shared" si="6"/>
        <v>rokprognozy=2027 i lp=140</v>
      </c>
      <c r="T23" s="584" t="str">
        <f t="shared" si="6"/>
        <v>rokprognozy=2028 i lp=140</v>
      </c>
      <c r="U23" s="584" t="str">
        <f t="shared" si="6"/>
        <v>rokprognozy=2029 i lp=140</v>
      </c>
      <c r="V23" s="584" t="str">
        <f t="shared" si="6"/>
        <v>rokprognozy=2030 i lp=140</v>
      </c>
      <c r="W23" s="584" t="str">
        <f t="shared" si="6"/>
        <v>rokprognozy=2031 i lp=140</v>
      </c>
      <c r="X23" s="584" t="str">
        <f t="shared" si="6"/>
        <v>rokprognozy=2032 i lp=140</v>
      </c>
      <c r="Y23" s="584" t="str">
        <f t="shared" si="6"/>
        <v>rokprognozy=2033 i lp=140</v>
      </c>
      <c r="Z23" s="584" t="str">
        <f t="shared" si="6"/>
        <v>rokprognozy=2034 i lp=140</v>
      </c>
      <c r="AA23" s="584" t="str">
        <f t="shared" si="6"/>
        <v>rokprognozy=2035 i lp=140</v>
      </c>
      <c r="AB23" s="584" t="str">
        <f t="shared" si="6"/>
        <v>rokprognozy=2036 i lp=140</v>
      </c>
      <c r="AC23" s="584" t="str">
        <f t="shared" si="6"/>
        <v>rokprognozy=2037 i lp=140</v>
      </c>
      <c r="AD23" s="584" t="str">
        <f aca="true" t="shared" si="7" ref="AD23:AH39">+"rokprognozy="&amp;AD$9&amp;" i lp="&amp;$A23</f>
        <v>rokprognozy=2038 i lp=140</v>
      </c>
      <c r="AE23" s="584" t="str">
        <f t="shared" si="7"/>
        <v>rokprognozy=2039 i lp=140</v>
      </c>
      <c r="AF23" s="584" t="str">
        <f t="shared" si="7"/>
        <v>rokprognozy=2040 i lp=140</v>
      </c>
      <c r="AG23" s="584" t="str">
        <f t="shared" si="7"/>
        <v>rokprognozy=2041 i lp=140</v>
      </c>
      <c r="AH23" s="584" t="str">
        <f t="shared" si="7"/>
        <v>rokprognozy=2042 i lp=140</v>
      </c>
    </row>
    <row r="24" spans="1:34" ht="12.75">
      <c r="A24" s="583">
        <v>150</v>
      </c>
      <c r="B24" s="583" t="s">
        <v>35</v>
      </c>
      <c r="C24" s="584" t="s">
        <v>395</v>
      </c>
      <c r="D24" s="584" t="str">
        <f t="shared" si="3"/>
        <v>rokprognozy=2013 i lp=150</v>
      </c>
      <c r="E24" s="584" t="str">
        <f t="shared" si="4"/>
        <v>rokprognozy=2013 i lp=150</v>
      </c>
      <c r="F24" s="584" t="str">
        <f t="shared" si="4"/>
        <v>rokprognozy=2014 i lp=150</v>
      </c>
      <c r="G24" s="584" t="str">
        <f t="shared" si="4"/>
        <v>rokprognozy=2015 i lp=150</v>
      </c>
      <c r="H24" s="584" t="str">
        <f t="shared" si="4"/>
        <v>rokprognozy=2016 i lp=150</v>
      </c>
      <c r="I24" s="584" t="str">
        <f t="shared" si="4"/>
        <v>rokprognozy=2017 i lp=150</v>
      </c>
      <c r="J24" s="584" t="str">
        <f t="shared" si="4"/>
        <v>rokprognozy=2018 i lp=150</v>
      </c>
      <c r="K24" s="584" t="str">
        <f t="shared" si="4"/>
        <v>rokprognozy=2019 i lp=150</v>
      </c>
      <c r="L24" s="584" t="str">
        <f t="shared" si="4"/>
        <v>rokprognozy=2020 i lp=150</v>
      </c>
      <c r="M24" s="584" t="str">
        <f t="shared" si="4"/>
        <v>rokprognozy=2021 i lp=150</v>
      </c>
      <c r="N24" s="584" t="str">
        <f t="shared" si="6"/>
        <v>rokprognozy=2022 i lp=150</v>
      </c>
      <c r="O24" s="584" t="str">
        <f t="shared" si="6"/>
        <v>rokprognozy=2023 i lp=150</v>
      </c>
      <c r="P24" s="584" t="str">
        <f t="shared" si="6"/>
        <v>rokprognozy=2024 i lp=150</v>
      </c>
      <c r="Q24" s="584" t="str">
        <f t="shared" si="6"/>
        <v>rokprognozy=2025 i lp=150</v>
      </c>
      <c r="R24" s="584" t="str">
        <f t="shared" si="6"/>
        <v>rokprognozy=2026 i lp=150</v>
      </c>
      <c r="S24" s="584" t="str">
        <f t="shared" si="6"/>
        <v>rokprognozy=2027 i lp=150</v>
      </c>
      <c r="T24" s="584" t="str">
        <f t="shared" si="6"/>
        <v>rokprognozy=2028 i lp=150</v>
      </c>
      <c r="U24" s="584" t="str">
        <f t="shared" si="6"/>
        <v>rokprognozy=2029 i lp=150</v>
      </c>
      <c r="V24" s="584" t="str">
        <f t="shared" si="6"/>
        <v>rokprognozy=2030 i lp=150</v>
      </c>
      <c r="W24" s="584" t="str">
        <f t="shared" si="6"/>
        <v>rokprognozy=2031 i lp=150</v>
      </c>
      <c r="X24" s="584" t="str">
        <f t="shared" si="6"/>
        <v>rokprognozy=2032 i lp=150</v>
      </c>
      <c r="Y24" s="584" t="str">
        <f t="shared" si="6"/>
        <v>rokprognozy=2033 i lp=150</v>
      </c>
      <c r="Z24" s="584" t="str">
        <f t="shared" si="6"/>
        <v>rokprognozy=2034 i lp=150</v>
      </c>
      <c r="AA24" s="584" t="str">
        <f t="shared" si="6"/>
        <v>rokprognozy=2035 i lp=150</v>
      </c>
      <c r="AB24" s="584" t="str">
        <f t="shared" si="6"/>
        <v>rokprognozy=2036 i lp=150</v>
      </c>
      <c r="AC24" s="584" t="str">
        <f t="shared" si="6"/>
        <v>rokprognozy=2037 i lp=150</v>
      </c>
      <c r="AD24" s="584" t="str">
        <f t="shared" si="7"/>
        <v>rokprognozy=2038 i lp=150</v>
      </c>
      <c r="AE24" s="584" t="str">
        <f t="shared" si="7"/>
        <v>rokprognozy=2039 i lp=150</v>
      </c>
      <c r="AF24" s="584" t="str">
        <f t="shared" si="7"/>
        <v>rokprognozy=2040 i lp=150</v>
      </c>
      <c r="AG24" s="584" t="str">
        <f t="shared" si="7"/>
        <v>rokprognozy=2041 i lp=150</v>
      </c>
      <c r="AH24" s="584" t="str">
        <f t="shared" si="7"/>
        <v>rokprognozy=2042 i lp=150</v>
      </c>
    </row>
    <row r="25" spans="1:34" ht="12.75">
      <c r="A25" s="583">
        <v>160</v>
      </c>
      <c r="B25" s="583" t="s">
        <v>37</v>
      </c>
      <c r="C25" s="584" t="s">
        <v>396</v>
      </c>
      <c r="D25" s="584" t="str">
        <f t="shared" si="3"/>
        <v>rokprognozy=2013 i lp=160</v>
      </c>
      <c r="E25" s="584" t="str">
        <f t="shared" si="4"/>
        <v>rokprognozy=2013 i lp=160</v>
      </c>
      <c r="F25" s="584" t="str">
        <f t="shared" si="4"/>
        <v>rokprognozy=2014 i lp=160</v>
      </c>
      <c r="G25" s="584" t="str">
        <f t="shared" si="4"/>
        <v>rokprognozy=2015 i lp=160</v>
      </c>
      <c r="H25" s="584" t="str">
        <f t="shared" si="4"/>
        <v>rokprognozy=2016 i lp=160</v>
      </c>
      <c r="I25" s="584" t="str">
        <f t="shared" si="4"/>
        <v>rokprognozy=2017 i lp=160</v>
      </c>
      <c r="J25" s="584" t="str">
        <f t="shared" si="4"/>
        <v>rokprognozy=2018 i lp=160</v>
      </c>
      <c r="K25" s="584" t="str">
        <f t="shared" si="4"/>
        <v>rokprognozy=2019 i lp=160</v>
      </c>
      <c r="L25" s="584" t="str">
        <f t="shared" si="4"/>
        <v>rokprognozy=2020 i lp=160</v>
      </c>
      <c r="M25" s="584" t="str">
        <f t="shared" si="4"/>
        <v>rokprognozy=2021 i lp=160</v>
      </c>
      <c r="N25" s="584" t="str">
        <f t="shared" si="6"/>
        <v>rokprognozy=2022 i lp=160</v>
      </c>
      <c r="O25" s="584" t="str">
        <f t="shared" si="6"/>
        <v>rokprognozy=2023 i lp=160</v>
      </c>
      <c r="P25" s="584" t="str">
        <f t="shared" si="6"/>
        <v>rokprognozy=2024 i lp=160</v>
      </c>
      <c r="Q25" s="584" t="str">
        <f t="shared" si="6"/>
        <v>rokprognozy=2025 i lp=160</v>
      </c>
      <c r="R25" s="584" t="str">
        <f t="shared" si="6"/>
        <v>rokprognozy=2026 i lp=160</v>
      </c>
      <c r="S25" s="584" t="str">
        <f t="shared" si="6"/>
        <v>rokprognozy=2027 i lp=160</v>
      </c>
      <c r="T25" s="584" t="str">
        <f t="shared" si="6"/>
        <v>rokprognozy=2028 i lp=160</v>
      </c>
      <c r="U25" s="584" t="str">
        <f t="shared" si="6"/>
        <v>rokprognozy=2029 i lp=160</v>
      </c>
      <c r="V25" s="584" t="str">
        <f t="shared" si="6"/>
        <v>rokprognozy=2030 i lp=160</v>
      </c>
      <c r="W25" s="584" t="str">
        <f t="shared" si="6"/>
        <v>rokprognozy=2031 i lp=160</v>
      </c>
      <c r="X25" s="584" t="str">
        <f t="shared" si="6"/>
        <v>rokprognozy=2032 i lp=160</v>
      </c>
      <c r="Y25" s="584" t="str">
        <f t="shared" si="6"/>
        <v>rokprognozy=2033 i lp=160</v>
      </c>
      <c r="Z25" s="584" t="str">
        <f t="shared" si="6"/>
        <v>rokprognozy=2034 i lp=160</v>
      </c>
      <c r="AA25" s="584" t="str">
        <f t="shared" si="6"/>
        <v>rokprognozy=2035 i lp=160</v>
      </c>
      <c r="AB25" s="584" t="str">
        <f t="shared" si="6"/>
        <v>rokprognozy=2036 i lp=160</v>
      </c>
      <c r="AC25" s="584" t="str">
        <f t="shared" si="6"/>
        <v>rokprognozy=2037 i lp=160</v>
      </c>
      <c r="AD25" s="584" t="str">
        <f t="shared" si="7"/>
        <v>rokprognozy=2038 i lp=160</v>
      </c>
      <c r="AE25" s="584" t="str">
        <f t="shared" si="7"/>
        <v>rokprognozy=2039 i lp=160</v>
      </c>
      <c r="AF25" s="584" t="str">
        <f t="shared" si="7"/>
        <v>rokprognozy=2040 i lp=160</v>
      </c>
      <c r="AG25" s="584" t="str">
        <f t="shared" si="7"/>
        <v>rokprognozy=2041 i lp=160</v>
      </c>
      <c r="AH25" s="584" t="str">
        <f t="shared" si="7"/>
        <v>rokprognozy=2042 i lp=160</v>
      </c>
    </row>
    <row r="26" spans="1:34" ht="12.75">
      <c r="A26" s="583">
        <v>170</v>
      </c>
      <c r="B26" s="583" t="s">
        <v>40</v>
      </c>
      <c r="C26" s="584" t="s">
        <v>397</v>
      </c>
      <c r="D26" s="584" t="str">
        <f t="shared" si="3"/>
        <v>rokprognozy=2013 i lp=170</v>
      </c>
      <c r="E26" s="584" t="str">
        <f t="shared" si="4"/>
        <v>rokprognozy=2013 i lp=170</v>
      </c>
      <c r="F26" s="584" t="str">
        <f t="shared" si="4"/>
        <v>rokprognozy=2014 i lp=170</v>
      </c>
      <c r="G26" s="584" t="str">
        <f t="shared" si="4"/>
        <v>rokprognozy=2015 i lp=170</v>
      </c>
      <c r="H26" s="584" t="str">
        <f t="shared" si="4"/>
        <v>rokprognozy=2016 i lp=170</v>
      </c>
      <c r="I26" s="584" t="str">
        <f t="shared" si="4"/>
        <v>rokprognozy=2017 i lp=170</v>
      </c>
      <c r="J26" s="584" t="str">
        <f t="shared" si="4"/>
        <v>rokprognozy=2018 i lp=170</v>
      </c>
      <c r="K26" s="584" t="str">
        <f t="shared" si="4"/>
        <v>rokprognozy=2019 i lp=170</v>
      </c>
      <c r="L26" s="584" t="str">
        <f t="shared" si="4"/>
        <v>rokprognozy=2020 i lp=170</v>
      </c>
      <c r="M26" s="584" t="str">
        <f t="shared" si="4"/>
        <v>rokprognozy=2021 i lp=170</v>
      </c>
      <c r="N26" s="584" t="str">
        <f t="shared" si="6"/>
        <v>rokprognozy=2022 i lp=170</v>
      </c>
      <c r="O26" s="584" t="str">
        <f t="shared" si="6"/>
        <v>rokprognozy=2023 i lp=170</v>
      </c>
      <c r="P26" s="584" t="str">
        <f t="shared" si="6"/>
        <v>rokprognozy=2024 i lp=170</v>
      </c>
      <c r="Q26" s="584" t="str">
        <f t="shared" si="6"/>
        <v>rokprognozy=2025 i lp=170</v>
      </c>
      <c r="R26" s="584" t="str">
        <f t="shared" si="6"/>
        <v>rokprognozy=2026 i lp=170</v>
      </c>
      <c r="S26" s="584" t="str">
        <f t="shared" si="6"/>
        <v>rokprognozy=2027 i lp=170</v>
      </c>
      <c r="T26" s="584" t="str">
        <f t="shared" si="6"/>
        <v>rokprognozy=2028 i lp=170</v>
      </c>
      <c r="U26" s="584" t="str">
        <f t="shared" si="6"/>
        <v>rokprognozy=2029 i lp=170</v>
      </c>
      <c r="V26" s="584" t="str">
        <f t="shared" si="6"/>
        <v>rokprognozy=2030 i lp=170</v>
      </c>
      <c r="W26" s="584" t="str">
        <f t="shared" si="6"/>
        <v>rokprognozy=2031 i lp=170</v>
      </c>
      <c r="X26" s="584" t="str">
        <f t="shared" si="6"/>
        <v>rokprognozy=2032 i lp=170</v>
      </c>
      <c r="Y26" s="584" t="str">
        <f t="shared" si="6"/>
        <v>rokprognozy=2033 i lp=170</v>
      </c>
      <c r="Z26" s="584" t="str">
        <f t="shared" si="6"/>
        <v>rokprognozy=2034 i lp=170</v>
      </c>
      <c r="AA26" s="584" t="str">
        <f t="shared" si="6"/>
        <v>rokprognozy=2035 i lp=170</v>
      </c>
      <c r="AB26" s="584" t="str">
        <f t="shared" si="6"/>
        <v>rokprognozy=2036 i lp=170</v>
      </c>
      <c r="AC26" s="584" t="str">
        <f t="shared" si="6"/>
        <v>rokprognozy=2037 i lp=170</v>
      </c>
      <c r="AD26" s="584" t="str">
        <f t="shared" si="7"/>
        <v>rokprognozy=2038 i lp=170</v>
      </c>
      <c r="AE26" s="584" t="str">
        <f t="shared" si="7"/>
        <v>rokprognozy=2039 i lp=170</v>
      </c>
      <c r="AF26" s="584" t="str">
        <f t="shared" si="7"/>
        <v>rokprognozy=2040 i lp=170</v>
      </c>
      <c r="AG26" s="584" t="str">
        <f t="shared" si="7"/>
        <v>rokprognozy=2041 i lp=170</v>
      </c>
      <c r="AH26" s="584" t="str">
        <f t="shared" si="7"/>
        <v>rokprognozy=2042 i lp=170</v>
      </c>
    </row>
    <row r="27" spans="1:34" ht="12.75">
      <c r="A27" s="583">
        <v>180</v>
      </c>
      <c r="B27" s="583" t="s">
        <v>42</v>
      </c>
      <c r="C27" s="584" t="s">
        <v>398</v>
      </c>
      <c r="D27" s="584" t="str">
        <f t="shared" si="3"/>
        <v>rokprognozy=2013 i lp=180</v>
      </c>
      <c r="E27" s="584" t="str">
        <f t="shared" si="4"/>
        <v>rokprognozy=2013 i lp=180</v>
      </c>
      <c r="F27" s="584" t="str">
        <f t="shared" si="4"/>
        <v>rokprognozy=2014 i lp=180</v>
      </c>
      <c r="G27" s="584" t="str">
        <f t="shared" si="4"/>
        <v>rokprognozy=2015 i lp=180</v>
      </c>
      <c r="H27" s="584" t="str">
        <f t="shared" si="4"/>
        <v>rokprognozy=2016 i lp=180</v>
      </c>
      <c r="I27" s="584" t="str">
        <f t="shared" si="4"/>
        <v>rokprognozy=2017 i lp=180</v>
      </c>
      <c r="J27" s="584" t="str">
        <f t="shared" si="4"/>
        <v>rokprognozy=2018 i lp=180</v>
      </c>
      <c r="K27" s="584" t="str">
        <f t="shared" si="4"/>
        <v>rokprognozy=2019 i lp=180</v>
      </c>
      <c r="L27" s="584" t="str">
        <f t="shared" si="4"/>
        <v>rokprognozy=2020 i lp=180</v>
      </c>
      <c r="M27" s="584" t="str">
        <f t="shared" si="4"/>
        <v>rokprognozy=2021 i lp=180</v>
      </c>
      <c r="N27" s="584" t="str">
        <f t="shared" si="6"/>
        <v>rokprognozy=2022 i lp=180</v>
      </c>
      <c r="O27" s="584" t="str">
        <f t="shared" si="6"/>
        <v>rokprognozy=2023 i lp=180</v>
      </c>
      <c r="P27" s="584" t="str">
        <f t="shared" si="6"/>
        <v>rokprognozy=2024 i lp=180</v>
      </c>
      <c r="Q27" s="584" t="str">
        <f t="shared" si="6"/>
        <v>rokprognozy=2025 i lp=180</v>
      </c>
      <c r="R27" s="584" t="str">
        <f t="shared" si="6"/>
        <v>rokprognozy=2026 i lp=180</v>
      </c>
      <c r="S27" s="584" t="str">
        <f t="shared" si="6"/>
        <v>rokprognozy=2027 i lp=180</v>
      </c>
      <c r="T27" s="584" t="str">
        <f t="shared" si="6"/>
        <v>rokprognozy=2028 i lp=180</v>
      </c>
      <c r="U27" s="584" t="str">
        <f t="shared" si="6"/>
        <v>rokprognozy=2029 i lp=180</v>
      </c>
      <c r="V27" s="584" t="str">
        <f t="shared" si="6"/>
        <v>rokprognozy=2030 i lp=180</v>
      </c>
      <c r="W27" s="584" t="str">
        <f t="shared" si="6"/>
        <v>rokprognozy=2031 i lp=180</v>
      </c>
      <c r="X27" s="584" t="str">
        <f t="shared" si="6"/>
        <v>rokprognozy=2032 i lp=180</v>
      </c>
      <c r="Y27" s="584" t="str">
        <f t="shared" si="6"/>
        <v>rokprognozy=2033 i lp=180</v>
      </c>
      <c r="Z27" s="584" t="str">
        <f t="shared" si="6"/>
        <v>rokprognozy=2034 i lp=180</v>
      </c>
      <c r="AA27" s="584" t="str">
        <f t="shared" si="6"/>
        <v>rokprognozy=2035 i lp=180</v>
      </c>
      <c r="AB27" s="584" t="str">
        <f t="shared" si="6"/>
        <v>rokprognozy=2036 i lp=180</v>
      </c>
      <c r="AC27" s="584" t="str">
        <f t="shared" si="6"/>
        <v>rokprognozy=2037 i lp=180</v>
      </c>
      <c r="AD27" s="584" t="str">
        <f t="shared" si="7"/>
        <v>rokprognozy=2038 i lp=180</v>
      </c>
      <c r="AE27" s="584" t="str">
        <f t="shared" si="7"/>
        <v>rokprognozy=2039 i lp=180</v>
      </c>
      <c r="AF27" s="584" t="str">
        <f t="shared" si="7"/>
        <v>rokprognozy=2040 i lp=180</v>
      </c>
      <c r="AG27" s="584" t="str">
        <f t="shared" si="7"/>
        <v>rokprognozy=2041 i lp=180</v>
      </c>
      <c r="AH27" s="584" t="str">
        <f t="shared" si="7"/>
        <v>rokprognozy=2042 i lp=180</v>
      </c>
    </row>
    <row r="28" spans="1:34" ht="12.75">
      <c r="A28" s="583">
        <v>190</v>
      </c>
      <c r="B28" s="583">
        <v>2.2</v>
      </c>
      <c r="C28" s="584" t="s">
        <v>399</v>
      </c>
      <c r="D28" s="584" t="str">
        <f t="shared" si="3"/>
        <v>rokprognozy=2013 i lp=190</v>
      </c>
      <c r="E28" s="584" t="str">
        <f t="shared" si="4"/>
        <v>rokprognozy=2013 i lp=190</v>
      </c>
      <c r="F28" s="584" t="str">
        <f t="shared" si="4"/>
        <v>rokprognozy=2014 i lp=190</v>
      </c>
      <c r="G28" s="584" t="str">
        <f t="shared" si="4"/>
        <v>rokprognozy=2015 i lp=190</v>
      </c>
      <c r="H28" s="584" t="str">
        <f t="shared" si="4"/>
        <v>rokprognozy=2016 i lp=190</v>
      </c>
      <c r="I28" s="584" t="str">
        <f t="shared" si="4"/>
        <v>rokprognozy=2017 i lp=190</v>
      </c>
      <c r="J28" s="584" t="str">
        <f t="shared" si="4"/>
        <v>rokprognozy=2018 i lp=190</v>
      </c>
      <c r="K28" s="584" t="str">
        <f t="shared" si="4"/>
        <v>rokprognozy=2019 i lp=190</v>
      </c>
      <c r="L28" s="584" t="str">
        <f t="shared" si="4"/>
        <v>rokprognozy=2020 i lp=190</v>
      </c>
      <c r="M28" s="584" t="str">
        <f t="shared" si="4"/>
        <v>rokprognozy=2021 i lp=190</v>
      </c>
      <c r="N28" s="584" t="str">
        <f t="shared" si="6"/>
        <v>rokprognozy=2022 i lp=190</v>
      </c>
      <c r="O28" s="584" t="str">
        <f t="shared" si="6"/>
        <v>rokprognozy=2023 i lp=190</v>
      </c>
      <c r="P28" s="584" t="str">
        <f t="shared" si="6"/>
        <v>rokprognozy=2024 i lp=190</v>
      </c>
      <c r="Q28" s="584" t="str">
        <f t="shared" si="6"/>
        <v>rokprognozy=2025 i lp=190</v>
      </c>
      <c r="R28" s="584" t="str">
        <f t="shared" si="6"/>
        <v>rokprognozy=2026 i lp=190</v>
      </c>
      <c r="S28" s="584" t="str">
        <f t="shared" si="6"/>
        <v>rokprognozy=2027 i lp=190</v>
      </c>
      <c r="T28" s="584" t="str">
        <f t="shared" si="6"/>
        <v>rokprognozy=2028 i lp=190</v>
      </c>
      <c r="U28" s="584" t="str">
        <f t="shared" si="6"/>
        <v>rokprognozy=2029 i lp=190</v>
      </c>
      <c r="V28" s="584" t="str">
        <f t="shared" si="6"/>
        <v>rokprognozy=2030 i lp=190</v>
      </c>
      <c r="W28" s="584" t="str">
        <f t="shared" si="6"/>
        <v>rokprognozy=2031 i lp=190</v>
      </c>
      <c r="X28" s="584" t="str">
        <f t="shared" si="6"/>
        <v>rokprognozy=2032 i lp=190</v>
      </c>
      <c r="Y28" s="584" t="str">
        <f t="shared" si="6"/>
        <v>rokprognozy=2033 i lp=190</v>
      </c>
      <c r="Z28" s="584" t="str">
        <f t="shared" si="6"/>
        <v>rokprognozy=2034 i lp=190</v>
      </c>
      <c r="AA28" s="584" t="str">
        <f t="shared" si="6"/>
        <v>rokprognozy=2035 i lp=190</v>
      </c>
      <c r="AB28" s="584" t="str">
        <f t="shared" si="6"/>
        <v>rokprognozy=2036 i lp=190</v>
      </c>
      <c r="AC28" s="584" t="str">
        <f t="shared" si="6"/>
        <v>rokprognozy=2037 i lp=190</v>
      </c>
      <c r="AD28" s="584" t="str">
        <f t="shared" si="7"/>
        <v>rokprognozy=2038 i lp=190</v>
      </c>
      <c r="AE28" s="584" t="str">
        <f t="shared" si="7"/>
        <v>rokprognozy=2039 i lp=190</v>
      </c>
      <c r="AF28" s="584" t="str">
        <f t="shared" si="7"/>
        <v>rokprognozy=2040 i lp=190</v>
      </c>
      <c r="AG28" s="584" t="str">
        <f t="shared" si="7"/>
        <v>rokprognozy=2041 i lp=190</v>
      </c>
      <c r="AH28" s="584" t="str">
        <f t="shared" si="7"/>
        <v>rokprognozy=2042 i lp=190</v>
      </c>
    </row>
    <row r="29" spans="1:34" ht="12.75">
      <c r="A29" s="583">
        <v>200</v>
      </c>
      <c r="B29" s="583">
        <v>3</v>
      </c>
      <c r="C29" s="584" t="s">
        <v>46</v>
      </c>
      <c r="D29" s="584" t="str">
        <f t="shared" si="3"/>
        <v>rokprognozy=2013 i lp=200</v>
      </c>
      <c r="E29" s="584" t="str">
        <f t="shared" si="4"/>
        <v>rokprognozy=2013 i lp=200</v>
      </c>
      <c r="F29" s="584" t="str">
        <f t="shared" si="4"/>
        <v>rokprognozy=2014 i lp=200</v>
      </c>
      <c r="G29" s="584" t="str">
        <f t="shared" si="4"/>
        <v>rokprognozy=2015 i lp=200</v>
      </c>
      <c r="H29" s="584" t="str">
        <f t="shared" si="4"/>
        <v>rokprognozy=2016 i lp=200</v>
      </c>
      <c r="I29" s="584" t="str">
        <f t="shared" si="4"/>
        <v>rokprognozy=2017 i lp=200</v>
      </c>
      <c r="J29" s="584" t="str">
        <f t="shared" si="4"/>
        <v>rokprognozy=2018 i lp=200</v>
      </c>
      <c r="K29" s="584" t="str">
        <f t="shared" si="4"/>
        <v>rokprognozy=2019 i lp=200</v>
      </c>
      <c r="L29" s="584" t="str">
        <f t="shared" si="4"/>
        <v>rokprognozy=2020 i lp=200</v>
      </c>
      <c r="M29" s="584" t="str">
        <f t="shared" si="4"/>
        <v>rokprognozy=2021 i lp=200</v>
      </c>
      <c r="N29" s="584" t="str">
        <f t="shared" si="6"/>
        <v>rokprognozy=2022 i lp=200</v>
      </c>
      <c r="O29" s="584" t="str">
        <f t="shared" si="6"/>
        <v>rokprognozy=2023 i lp=200</v>
      </c>
      <c r="P29" s="584" t="str">
        <f t="shared" si="6"/>
        <v>rokprognozy=2024 i lp=200</v>
      </c>
      <c r="Q29" s="584" t="str">
        <f t="shared" si="6"/>
        <v>rokprognozy=2025 i lp=200</v>
      </c>
      <c r="R29" s="584" t="str">
        <f t="shared" si="6"/>
        <v>rokprognozy=2026 i lp=200</v>
      </c>
      <c r="S29" s="584" t="str">
        <f t="shared" si="6"/>
        <v>rokprognozy=2027 i lp=200</v>
      </c>
      <c r="T29" s="584" t="str">
        <f t="shared" si="6"/>
        <v>rokprognozy=2028 i lp=200</v>
      </c>
      <c r="U29" s="584" t="str">
        <f t="shared" si="6"/>
        <v>rokprognozy=2029 i lp=200</v>
      </c>
      <c r="V29" s="584" t="str">
        <f t="shared" si="6"/>
        <v>rokprognozy=2030 i lp=200</v>
      </c>
      <c r="W29" s="584" t="str">
        <f t="shared" si="6"/>
        <v>rokprognozy=2031 i lp=200</v>
      </c>
      <c r="X29" s="584" t="str">
        <f t="shared" si="6"/>
        <v>rokprognozy=2032 i lp=200</v>
      </c>
      <c r="Y29" s="584" t="str">
        <f t="shared" si="6"/>
        <v>rokprognozy=2033 i lp=200</v>
      </c>
      <c r="Z29" s="584" t="str">
        <f t="shared" si="6"/>
        <v>rokprognozy=2034 i lp=200</v>
      </c>
      <c r="AA29" s="584" t="str">
        <f t="shared" si="6"/>
        <v>rokprognozy=2035 i lp=200</v>
      </c>
      <c r="AB29" s="584" t="str">
        <f t="shared" si="6"/>
        <v>rokprognozy=2036 i lp=200</v>
      </c>
      <c r="AC29" s="584" t="str">
        <f t="shared" si="6"/>
        <v>rokprognozy=2037 i lp=200</v>
      </c>
      <c r="AD29" s="584" t="str">
        <f t="shared" si="7"/>
        <v>rokprognozy=2038 i lp=200</v>
      </c>
      <c r="AE29" s="584" t="str">
        <f t="shared" si="7"/>
        <v>rokprognozy=2039 i lp=200</v>
      </c>
      <c r="AF29" s="584" t="str">
        <f t="shared" si="7"/>
        <v>rokprognozy=2040 i lp=200</v>
      </c>
      <c r="AG29" s="584" t="str">
        <f t="shared" si="7"/>
        <v>rokprognozy=2041 i lp=200</v>
      </c>
      <c r="AH29" s="584" t="str">
        <f t="shared" si="7"/>
        <v>rokprognozy=2042 i lp=200</v>
      </c>
    </row>
    <row r="30" spans="1:34" ht="12.75">
      <c r="A30" s="583">
        <v>210</v>
      </c>
      <c r="B30" s="583">
        <v>4</v>
      </c>
      <c r="C30" s="584" t="s">
        <v>47</v>
      </c>
      <c r="D30" s="584" t="str">
        <f t="shared" si="3"/>
        <v>rokprognozy=2013 i lp=210</v>
      </c>
      <c r="E30" s="584" t="str">
        <f t="shared" si="4"/>
        <v>rokprognozy=2013 i lp=210</v>
      </c>
      <c r="F30" s="584" t="str">
        <f t="shared" si="4"/>
        <v>rokprognozy=2014 i lp=210</v>
      </c>
      <c r="G30" s="584" t="str">
        <f t="shared" si="4"/>
        <v>rokprognozy=2015 i lp=210</v>
      </c>
      <c r="H30" s="584" t="str">
        <f t="shared" si="4"/>
        <v>rokprognozy=2016 i lp=210</v>
      </c>
      <c r="I30" s="584" t="str">
        <f t="shared" si="4"/>
        <v>rokprognozy=2017 i lp=210</v>
      </c>
      <c r="J30" s="584" t="str">
        <f t="shared" si="4"/>
        <v>rokprognozy=2018 i lp=210</v>
      </c>
      <c r="K30" s="584" t="str">
        <f t="shared" si="4"/>
        <v>rokprognozy=2019 i lp=210</v>
      </c>
      <c r="L30" s="584" t="str">
        <f t="shared" si="4"/>
        <v>rokprognozy=2020 i lp=210</v>
      </c>
      <c r="M30" s="584" t="str">
        <f t="shared" si="4"/>
        <v>rokprognozy=2021 i lp=210</v>
      </c>
      <c r="N30" s="584" t="str">
        <f t="shared" si="6"/>
        <v>rokprognozy=2022 i lp=210</v>
      </c>
      <c r="O30" s="584" t="str">
        <f t="shared" si="6"/>
        <v>rokprognozy=2023 i lp=210</v>
      </c>
      <c r="P30" s="584" t="str">
        <f t="shared" si="6"/>
        <v>rokprognozy=2024 i lp=210</v>
      </c>
      <c r="Q30" s="584" t="str">
        <f t="shared" si="6"/>
        <v>rokprognozy=2025 i lp=210</v>
      </c>
      <c r="R30" s="584" t="str">
        <f t="shared" si="6"/>
        <v>rokprognozy=2026 i lp=210</v>
      </c>
      <c r="S30" s="584" t="str">
        <f t="shared" si="6"/>
        <v>rokprognozy=2027 i lp=210</v>
      </c>
      <c r="T30" s="584" t="str">
        <f t="shared" si="6"/>
        <v>rokprognozy=2028 i lp=210</v>
      </c>
      <c r="U30" s="584" t="str">
        <f t="shared" si="6"/>
        <v>rokprognozy=2029 i lp=210</v>
      </c>
      <c r="V30" s="584" t="str">
        <f t="shared" si="6"/>
        <v>rokprognozy=2030 i lp=210</v>
      </c>
      <c r="W30" s="584" t="str">
        <f t="shared" si="6"/>
        <v>rokprognozy=2031 i lp=210</v>
      </c>
      <c r="X30" s="584" t="str">
        <f t="shared" si="6"/>
        <v>rokprognozy=2032 i lp=210</v>
      </c>
      <c r="Y30" s="584" t="str">
        <f t="shared" si="6"/>
        <v>rokprognozy=2033 i lp=210</v>
      </c>
      <c r="Z30" s="584" t="str">
        <f t="shared" si="6"/>
        <v>rokprognozy=2034 i lp=210</v>
      </c>
      <c r="AA30" s="584" t="str">
        <f t="shared" si="6"/>
        <v>rokprognozy=2035 i lp=210</v>
      </c>
      <c r="AB30" s="584" t="str">
        <f t="shared" si="6"/>
        <v>rokprognozy=2036 i lp=210</v>
      </c>
      <c r="AC30" s="584" t="str">
        <f t="shared" si="6"/>
        <v>rokprognozy=2037 i lp=210</v>
      </c>
      <c r="AD30" s="584" t="str">
        <f t="shared" si="7"/>
        <v>rokprognozy=2038 i lp=210</v>
      </c>
      <c r="AE30" s="584" t="str">
        <f t="shared" si="7"/>
        <v>rokprognozy=2039 i lp=210</v>
      </c>
      <c r="AF30" s="584" t="str">
        <f t="shared" si="7"/>
        <v>rokprognozy=2040 i lp=210</v>
      </c>
      <c r="AG30" s="584" t="str">
        <f t="shared" si="7"/>
        <v>rokprognozy=2041 i lp=210</v>
      </c>
      <c r="AH30" s="584" t="str">
        <f t="shared" si="7"/>
        <v>rokprognozy=2042 i lp=210</v>
      </c>
    </row>
    <row r="31" spans="1:34" ht="12.75">
      <c r="A31" s="583">
        <v>220</v>
      </c>
      <c r="B31" s="583">
        <v>4.1</v>
      </c>
      <c r="C31" s="584" t="s">
        <v>400</v>
      </c>
      <c r="D31" s="584" t="str">
        <f t="shared" si="3"/>
        <v>rokprognozy=2013 i lp=220</v>
      </c>
      <c r="E31" s="584" t="str">
        <f t="shared" si="4"/>
        <v>rokprognozy=2013 i lp=220</v>
      </c>
      <c r="F31" s="584" t="str">
        <f t="shared" si="4"/>
        <v>rokprognozy=2014 i lp=220</v>
      </c>
      <c r="G31" s="584" t="str">
        <f t="shared" si="4"/>
        <v>rokprognozy=2015 i lp=220</v>
      </c>
      <c r="H31" s="584" t="str">
        <f t="shared" si="4"/>
        <v>rokprognozy=2016 i lp=220</v>
      </c>
      <c r="I31" s="584" t="str">
        <f t="shared" si="4"/>
        <v>rokprognozy=2017 i lp=220</v>
      </c>
      <c r="J31" s="584" t="str">
        <f t="shared" si="4"/>
        <v>rokprognozy=2018 i lp=220</v>
      </c>
      <c r="K31" s="584" t="str">
        <f t="shared" si="4"/>
        <v>rokprognozy=2019 i lp=220</v>
      </c>
      <c r="L31" s="584" t="str">
        <f t="shared" si="4"/>
        <v>rokprognozy=2020 i lp=220</v>
      </c>
      <c r="M31" s="584" t="str">
        <f t="shared" si="4"/>
        <v>rokprognozy=2021 i lp=220</v>
      </c>
      <c r="N31" s="584" t="str">
        <f t="shared" si="6"/>
        <v>rokprognozy=2022 i lp=220</v>
      </c>
      <c r="O31" s="584" t="str">
        <f t="shared" si="6"/>
        <v>rokprognozy=2023 i lp=220</v>
      </c>
      <c r="P31" s="584" t="str">
        <f t="shared" si="6"/>
        <v>rokprognozy=2024 i lp=220</v>
      </c>
      <c r="Q31" s="584" t="str">
        <f t="shared" si="6"/>
        <v>rokprognozy=2025 i lp=220</v>
      </c>
      <c r="R31" s="584" t="str">
        <f t="shared" si="6"/>
        <v>rokprognozy=2026 i lp=220</v>
      </c>
      <c r="S31" s="584" t="str">
        <f t="shared" si="6"/>
        <v>rokprognozy=2027 i lp=220</v>
      </c>
      <c r="T31" s="584" t="str">
        <f t="shared" si="6"/>
        <v>rokprognozy=2028 i lp=220</v>
      </c>
      <c r="U31" s="584" t="str">
        <f t="shared" si="6"/>
        <v>rokprognozy=2029 i lp=220</v>
      </c>
      <c r="V31" s="584" t="str">
        <f t="shared" si="6"/>
        <v>rokprognozy=2030 i lp=220</v>
      </c>
      <c r="W31" s="584" t="str">
        <f t="shared" si="6"/>
        <v>rokprognozy=2031 i lp=220</v>
      </c>
      <c r="X31" s="584" t="str">
        <f t="shared" si="6"/>
        <v>rokprognozy=2032 i lp=220</v>
      </c>
      <c r="Y31" s="584" t="str">
        <f t="shared" si="6"/>
        <v>rokprognozy=2033 i lp=220</v>
      </c>
      <c r="Z31" s="584" t="str">
        <f t="shared" si="6"/>
        <v>rokprognozy=2034 i lp=220</v>
      </c>
      <c r="AA31" s="584" t="str">
        <f t="shared" si="6"/>
        <v>rokprognozy=2035 i lp=220</v>
      </c>
      <c r="AB31" s="584" t="str">
        <f t="shared" si="6"/>
        <v>rokprognozy=2036 i lp=220</v>
      </c>
      <c r="AC31" s="584" t="str">
        <f t="shared" si="6"/>
        <v>rokprognozy=2037 i lp=220</v>
      </c>
      <c r="AD31" s="584" t="str">
        <f t="shared" si="7"/>
        <v>rokprognozy=2038 i lp=220</v>
      </c>
      <c r="AE31" s="584" t="str">
        <f t="shared" si="7"/>
        <v>rokprognozy=2039 i lp=220</v>
      </c>
      <c r="AF31" s="584" t="str">
        <f t="shared" si="7"/>
        <v>rokprognozy=2040 i lp=220</v>
      </c>
      <c r="AG31" s="584" t="str">
        <f t="shared" si="7"/>
        <v>rokprognozy=2041 i lp=220</v>
      </c>
      <c r="AH31" s="584" t="str">
        <f t="shared" si="7"/>
        <v>rokprognozy=2042 i lp=220</v>
      </c>
    </row>
    <row r="32" spans="1:34" ht="12.75">
      <c r="A32" s="583">
        <v>230</v>
      </c>
      <c r="B32" s="583" t="s">
        <v>50</v>
      </c>
      <c r="C32" s="584" t="s">
        <v>401</v>
      </c>
      <c r="D32" s="584" t="str">
        <f t="shared" si="3"/>
        <v>rokprognozy=2013 i lp=230</v>
      </c>
      <c r="E32" s="584" t="str">
        <f t="shared" si="4"/>
        <v>rokprognozy=2013 i lp=230</v>
      </c>
      <c r="F32" s="584" t="str">
        <f t="shared" si="4"/>
        <v>rokprognozy=2014 i lp=230</v>
      </c>
      <c r="G32" s="584" t="str">
        <f t="shared" si="4"/>
        <v>rokprognozy=2015 i lp=230</v>
      </c>
      <c r="H32" s="584" t="str">
        <f t="shared" si="4"/>
        <v>rokprognozy=2016 i lp=230</v>
      </c>
      <c r="I32" s="584" t="str">
        <f t="shared" si="4"/>
        <v>rokprognozy=2017 i lp=230</v>
      </c>
      <c r="J32" s="584" t="str">
        <f t="shared" si="4"/>
        <v>rokprognozy=2018 i lp=230</v>
      </c>
      <c r="K32" s="584" t="str">
        <f t="shared" si="4"/>
        <v>rokprognozy=2019 i lp=230</v>
      </c>
      <c r="L32" s="584" t="str">
        <f t="shared" si="4"/>
        <v>rokprognozy=2020 i lp=230</v>
      </c>
      <c r="M32" s="584" t="str">
        <f t="shared" si="4"/>
        <v>rokprognozy=2021 i lp=230</v>
      </c>
      <c r="N32" s="584" t="str">
        <f t="shared" si="6"/>
        <v>rokprognozy=2022 i lp=230</v>
      </c>
      <c r="O32" s="584" t="str">
        <f t="shared" si="6"/>
        <v>rokprognozy=2023 i lp=230</v>
      </c>
      <c r="P32" s="584" t="str">
        <f t="shared" si="6"/>
        <v>rokprognozy=2024 i lp=230</v>
      </c>
      <c r="Q32" s="584" t="str">
        <f t="shared" si="6"/>
        <v>rokprognozy=2025 i lp=230</v>
      </c>
      <c r="R32" s="584" t="str">
        <f t="shared" si="6"/>
        <v>rokprognozy=2026 i lp=230</v>
      </c>
      <c r="S32" s="584" t="str">
        <f t="shared" si="6"/>
        <v>rokprognozy=2027 i lp=230</v>
      </c>
      <c r="T32" s="584" t="str">
        <f t="shared" si="6"/>
        <v>rokprognozy=2028 i lp=230</v>
      </c>
      <c r="U32" s="584" t="str">
        <f t="shared" si="6"/>
        <v>rokprognozy=2029 i lp=230</v>
      </c>
      <c r="V32" s="584" t="str">
        <f t="shared" si="6"/>
        <v>rokprognozy=2030 i lp=230</v>
      </c>
      <c r="W32" s="584" t="str">
        <f t="shared" si="6"/>
        <v>rokprognozy=2031 i lp=230</v>
      </c>
      <c r="X32" s="584" t="str">
        <f t="shared" si="6"/>
        <v>rokprognozy=2032 i lp=230</v>
      </c>
      <c r="Y32" s="584" t="str">
        <f t="shared" si="6"/>
        <v>rokprognozy=2033 i lp=230</v>
      </c>
      <c r="Z32" s="584" t="str">
        <f t="shared" si="6"/>
        <v>rokprognozy=2034 i lp=230</v>
      </c>
      <c r="AA32" s="584" t="str">
        <f t="shared" si="6"/>
        <v>rokprognozy=2035 i lp=230</v>
      </c>
      <c r="AB32" s="584" t="str">
        <f t="shared" si="6"/>
        <v>rokprognozy=2036 i lp=230</v>
      </c>
      <c r="AC32" s="584" t="str">
        <f t="shared" si="6"/>
        <v>rokprognozy=2037 i lp=230</v>
      </c>
      <c r="AD32" s="584" t="str">
        <f t="shared" si="7"/>
        <v>rokprognozy=2038 i lp=230</v>
      </c>
      <c r="AE32" s="584" t="str">
        <f t="shared" si="7"/>
        <v>rokprognozy=2039 i lp=230</v>
      </c>
      <c r="AF32" s="584" t="str">
        <f t="shared" si="7"/>
        <v>rokprognozy=2040 i lp=230</v>
      </c>
      <c r="AG32" s="584" t="str">
        <f t="shared" si="7"/>
        <v>rokprognozy=2041 i lp=230</v>
      </c>
      <c r="AH32" s="584" t="str">
        <f t="shared" si="7"/>
        <v>rokprognozy=2042 i lp=230</v>
      </c>
    </row>
    <row r="33" spans="1:34" ht="12.75">
      <c r="A33" s="583">
        <v>240</v>
      </c>
      <c r="B33" s="583">
        <v>4.2</v>
      </c>
      <c r="C33" s="584" t="s">
        <v>402</v>
      </c>
      <c r="D33" s="584" t="str">
        <f t="shared" si="3"/>
        <v>rokprognozy=2013 i lp=240</v>
      </c>
      <c r="E33" s="584" t="str">
        <f t="shared" si="4"/>
        <v>rokprognozy=2013 i lp=240</v>
      </c>
      <c r="F33" s="584" t="str">
        <f t="shared" si="4"/>
        <v>rokprognozy=2014 i lp=240</v>
      </c>
      <c r="G33" s="584" t="str">
        <f t="shared" si="4"/>
        <v>rokprognozy=2015 i lp=240</v>
      </c>
      <c r="H33" s="584" t="str">
        <f t="shared" si="4"/>
        <v>rokprognozy=2016 i lp=240</v>
      </c>
      <c r="I33" s="584" t="str">
        <f t="shared" si="4"/>
        <v>rokprognozy=2017 i lp=240</v>
      </c>
      <c r="J33" s="584" t="str">
        <f t="shared" si="4"/>
        <v>rokprognozy=2018 i lp=240</v>
      </c>
      <c r="K33" s="584" t="str">
        <f t="shared" si="4"/>
        <v>rokprognozy=2019 i lp=240</v>
      </c>
      <c r="L33" s="584" t="str">
        <f t="shared" si="4"/>
        <v>rokprognozy=2020 i lp=240</v>
      </c>
      <c r="M33" s="584" t="str">
        <f t="shared" si="4"/>
        <v>rokprognozy=2021 i lp=240</v>
      </c>
      <c r="N33" s="584" t="str">
        <f t="shared" si="6"/>
        <v>rokprognozy=2022 i lp=240</v>
      </c>
      <c r="O33" s="584" t="str">
        <f t="shared" si="6"/>
        <v>rokprognozy=2023 i lp=240</v>
      </c>
      <c r="P33" s="584" t="str">
        <f t="shared" si="6"/>
        <v>rokprognozy=2024 i lp=240</v>
      </c>
      <c r="Q33" s="584" t="str">
        <f t="shared" si="6"/>
        <v>rokprognozy=2025 i lp=240</v>
      </c>
      <c r="R33" s="584" t="str">
        <f t="shared" si="6"/>
        <v>rokprognozy=2026 i lp=240</v>
      </c>
      <c r="S33" s="584" t="str">
        <f t="shared" si="6"/>
        <v>rokprognozy=2027 i lp=240</v>
      </c>
      <c r="T33" s="584" t="str">
        <f t="shared" si="6"/>
        <v>rokprognozy=2028 i lp=240</v>
      </c>
      <c r="U33" s="584" t="str">
        <f t="shared" si="6"/>
        <v>rokprognozy=2029 i lp=240</v>
      </c>
      <c r="V33" s="584" t="str">
        <f t="shared" si="6"/>
        <v>rokprognozy=2030 i lp=240</v>
      </c>
      <c r="W33" s="584" t="str">
        <f t="shared" si="6"/>
        <v>rokprognozy=2031 i lp=240</v>
      </c>
      <c r="X33" s="584" t="str">
        <f t="shared" si="6"/>
        <v>rokprognozy=2032 i lp=240</v>
      </c>
      <c r="Y33" s="584" t="str">
        <f t="shared" si="6"/>
        <v>rokprognozy=2033 i lp=240</v>
      </c>
      <c r="Z33" s="584" t="str">
        <f t="shared" si="6"/>
        <v>rokprognozy=2034 i lp=240</v>
      </c>
      <c r="AA33" s="584" t="str">
        <f t="shared" si="6"/>
        <v>rokprognozy=2035 i lp=240</v>
      </c>
      <c r="AB33" s="584" t="str">
        <f t="shared" si="6"/>
        <v>rokprognozy=2036 i lp=240</v>
      </c>
      <c r="AC33" s="584" t="str">
        <f t="shared" si="6"/>
        <v>rokprognozy=2037 i lp=240</v>
      </c>
      <c r="AD33" s="584" t="str">
        <f t="shared" si="7"/>
        <v>rokprognozy=2038 i lp=240</v>
      </c>
      <c r="AE33" s="584" t="str">
        <f t="shared" si="7"/>
        <v>rokprognozy=2039 i lp=240</v>
      </c>
      <c r="AF33" s="584" t="str">
        <f t="shared" si="7"/>
        <v>rokprognozy=2040 i lp=240</v>
      </c>
      <c r="AG33" s="584" t="str">
        <f t="shared" si="7"/>
        <v>rokprognozy=2041 i lp=240</v>
      </c>
      <c r="AH33" s="584" t="str">
        <f t="shared" si="7"/>
        <v>rokprognozy=2042 i lp=240</v>
      </c>
    </row>
    <row r="34" spans="1:34" ht="12.75">
      <c r="A34" s="583">
        <v>250</v>
      </c>
      <c r="B34" s="583" t="s">
        <v>54</v>
      </c>
      <c r="C34" s="584" t="s">
        <v>403</v>
      </c>
      <c r="D34" s="584" t="str">
        <f t="shared" si="3"/>
        <v>rokprognozy=2013 i lp=250</v>
      </c>
      <c r="E34" s="584" t="str">
        <f t="shared" si="4"/>
        <v>rokprognozy=2013 i lp=250</v>
      </c>
      <c r="F34" s="584" t="str">
        <f t="shared" si="4"/>
        <v>rokprognozy=2014 i lp=250</v>
      </c>
      <c r="G34" s="584" t="str">
        <f t="shared" si="4"/>
        <v>rokprognozy=2015 i lp=250</v>
      </c>
      <c r="H34" s="584" t="str">
        <f t="shared" si="4"/>
        <v>rokprognozy=2016 i lp=250</v>
      </c>
      <c r="I34" s="584" t="str">
        <f t="shared" si="4"/>
        <v>rokprognozy=2017 i lp=250</v>
      </c>
      <c r="J34" s="584" t="str">
        <f t="shared" si="4"/>
        <v>rokprognozy=2018 i lp=250</v>
      </c>
      <c r="K34" s="584" t="str">
        <f t="shared" si="4"/>
        <v>rokprognozy=2019 i lp=250</v>
      </c>
      <c r="L34" s="584" t="str">
        <f t="shared" si="4"/>
        <v>rokprognozy=2020 i lp=250</v>
      </c>
      <c r="M34" s="584" t="str">
        <f t="shared" si="4"/>
        <v>rokprognozy=2021 i lp=250</v>
      </c>
      <c r="N34" s="584" t="str">
        <f t="shared" si="6"/>
        <v>rokprognozy=2022 i lp=250</v>
      </c>
      <c r="O34" s="584" t="str">
        <f t="shared" si="6"/>
        <v>rokprognozy=2023 i lp=250</v>
      </c>
      <c r="P34" s="584" t="str">
        <f t="shared" si="6"/>
        <v>rokprognozy=2024 i lp=250</v>
      </c>
      <c r="Q34" s="584" t="str">
        <f t="shared" si="6"/>
        <v>rokprognozy=2025 i lp=250</v>
      </c>
      <c r="R34" s="584" t="str">
        <f t="shared" si="6"/>
        <v>rokprognozy=2026 i lp=250</v>
      </c>
      <c r="S34" s="584" t="str">
        <f t="shared" si="6"/>
        <v>rokprognozy=2027 i lp=250</v>
      </c>
      <c r="T34" s="584" t="str">
        <f t="shared" si="6"/>
        <v>rokprognozy=2028 i lp=250</v>
      </c>
      <c r="U34" s="584" t="str">
        <f t="shared" si="6"/>
        <v>rokprognozy=2029 i lp=250</v>
      </c>
      <c r="V34" s="584" t="str">
        <f t="shared" si="6"/>
        <v>rokprognozy=2030 i lp=250</v>
      </c>
      <c r="W34" s="584" t="str">
        <f t="shared" si="6"/>
        <v>rokprognozy=2031 i lp=250</v>
      </c>
      <c r="X34" s="584" t="str">
        <f t="shared" si="6"/>
        <v>rokprognozy=2032 i lp=250</v>
      </c>
      <c r="Y34" s="584" t="str">
        <f t="shared" si="6"/>
        <v>rokprognozy=2033 i lp=250</v>
      </c>
      <c r="Z34" s="584" t="str">
        <f t="shared" si="6"/>
        <v>rokprognozy=2034 i lp=250</v>
      </c>
      <c r="AA34" s="584" t="str">
        <f t="shared" si="6"/>
        <v>rokprognozy=2035 i lp=250</v>
      </c>
      <c r="AB34" s="584" t="str">
        <f t="shared" si="6"/>
        <v>rokprognozy=2036 i lp=250</v>
      </c>
      <c r="AC34" s="584" t="str">
        <f t="shared" si="6"/>
        <v>rokprognozy=2037 i lp=250</v>
      </c>
      <c r="AD34" s="584" t="str">
        <f t="shared" si="7"/>
        <v>rokprognozy=2038 i lp=250</v>
      </c>
      <c r="AE34" s="584" t="str">
        <f t="shared" si="7"/>
        <v>rokprognozy=2039 i lp=250</v>
      </c>
      <c r="AF34" s="584" t="str">
        <f t="shared" si="7"/>
        <v>rokprognozy=2040 i lp=250</v>
      </c>
      <c r="AG34" s="584" t="str">
        <f t="shared" si="7"/>
        <v>rokprognozy=2041 i lp=250</v>
      </c>
      <c r="AH34" s="584" t="str">
        <f t="shared" si="7"/>
        <v>rokprognozy=2042 i lp=250</v>
      </c>
    </row>
    <row r="35" spans="1:34" ht="12.75">
      <c r="A35" s="583">
        <v>260</v>
      </c>
      <c r="B35" s="583">
        <v>4.3</v>
      </c>
      <c r="C35" s="584" t="s">
        <v>404</v>
      </c>
      <c r="D35" s="584" t="str">
        <f t="shared" si="3"/>
        <v>rokprognozy=2013 i lp=260</v>
      </c>
      <c r="E35" s="584" t="str">
        <f t="shared" si="4"/>
        <v>rokprognozy=2013 i lp=260</v>
      </c>
      <c r="F35" s="584" t="str">
        <f t="shared" si="4"/>
        <v>rokprognozy=2014 i lp=260</v>
      </c>
      <c r="G35" s="584" t="str">
        <f t="shared" si="4"/>
        <v>rokprognozy=2015 i lp=260</v>
      </c>
      <c r="H35" s="584" t="str">
        <f t="shared" si="4"/>
        <v>rokprognozy=2016 i lp=260</v>
      </c>
      <c r="I35" s="584" t="str">
        <f t="shared" si="4"/>
        <v>rokprognozy=2017 i lp=260</v>
      </c>
      <c r="J35" s="584" t="str">
        <f t="shared" si="4"/>
        <v>rokprognozy=2018 i lp=260</v>
      </c>
      <c r="K35" s="584" t="str">
        <f t="shared" si="4"/>
        <v>rokprognozy=2019 i lp=260</v>
      </c>
      <c r="L35" s="584" t="str">
        <f t="shared" si="4"/>
        <v>rokprognozy=2020 i lp=260</v>
      </c>
      <c r="M35" s="584" t="str">
        <f t="shared" si="4"/>
        <v>rokprognozy=2021 i lp=260</v>
      </c>
      <c r="N35" s="584" t="str">
        <f t="shared" si="6"/>
        <v>rokprognozy=2022 i lp=260</v>
      </c>
      <c r="O35" s="584" t="str">
        <f t="shared" si="6"/>
        <v>rokprognozy=2023 i lp=260</v>
      </c>
      <c r="P35" s="584" t="str">
        <f t="shared" si="6"/>
        <v>rokprognozy=2024 i lp=260</v>
      </c>
      <c r="Q35" s="584" t="str">
        <f t="shared" si="6"/>
        <v>rokprognozy=2025 i lp=260</v>
      </c>
      <c r="R35" s="584" t="str">
        <f t="shared" si="6"/>
        <v>rokprognozy=2026 i lp=260</v>
      </c>
      <c r="S35" s="584" t="str">
        <f t="shared" si="6"/>
        <v>rokprognozy=2027 i lp=260</v>
      </c>
      <c r="T35" s="584" t="str">
        <f t="shared" si="6"/>
        <v>rokprognozy=2028 i lp=260</v>
      </c>
      <c r="U35" s="584" t="str">
        <f t="shared" si="6"/>
        <v>rokprognozy=2029 i lp=260</v>
      </c>
      <c r="V35" s="584" t="str">
        <f t="shared" si="6"/>
        <v>rokprognozy=2030 i lp=260</v>
      </c>
      <c r="W35" s="584" t="str">
        <f t="shared" si="6"/>
        <v>rokprognozy=2031 i lp=260</v>
      </c>
      <c r="X35" s="584" t="str">
        <f t="shared" si="6"/>
        <v>rokprognozy=2032 i lp=260</v>
      </c>
      <c r="Y35" s="584" t="str">
        <f t="shared" si="6"/>
        <v>rokprognozy=2033 i lp=260</v>
      </c>
      <c r="Z35" s="584" t="str">
        <f t="shared" si="6"/>
        <v>rokprognozy=2034 i lp=260</v>
      </c>
      <c r="AA35" s="584" t="str">
        <f t="shared" si="6"/>
        <v>rokprognozy=2035 i lp=260</v>
      </c>
      <c r="AB35" s="584" t="str">
        <f t="shared" si="6"/>
        <v>rokprognozy=2036 i lp=260</v>
      </c>
      <c r="AC35" s="584" t="str">
        <f t="shared" si="6"/>
        <v>rokprognozy=2037 i lp=260</v>
      </c>
      <c r="AD35" s="584" t="str">
        <f t="shared" si="7"/>
        <v>rokprognozy=2038 i lp=260</v>
      </c>
      <c r="AE35" s="584" t="str">
        <f t="shared" si="7"/>
        <v>rokprognozy=2039 i lp=260</v>
      </c>
      <c r="AF35" s="584" t="str">
        <f t="shared" si="7"/>
        <v>rokprognozy=2040 i lp=260</v>
      </c>
      <c r="AG35" s="584" t="str">
        <f t="shared" si="7"/>
        <v>rokprognozy=2041 i lp=260</v>
      </c>
      <c r="AH35" s="584" t="str">
        <f t="shared" si="7"/>
        <v>rokprognozy=2042 i lp=260</v>
      </c>
    </row>
    <row r="36" spans="1:34" ht="12.75">
      <c r="A36" s="583">
        <v>270</v>
      </c>
      <c r="B36" s="583" t="s">
        <v>57</v>
      </c>
      <c r="C36" s="584" t="s">
        <v>403</v>
      </c>
      <c r="D36" s="584" t="str">
        <f t="shared" si="3"/>
        <v>rokprognozy=2013 i lp=270</v>
      </c>
      <c r="E36" s="584" t="str">
        <f t="shared" si="4"/>
        <v>rokprognozy=2013 i lp=270</v>
      </c>
      <c r="F36" s="584" t="str">
        <f t="shared" si="4"/>
        <v>rokprognozy=2014 i lp=270</v>
      </c>
      <c r="G36" s="584" t="str">
        <f t="shared" si="4"/>
        <v>rokprognozy=2015 i lp=270</v>
      </c>
      <c r="H36" s="584" t="str">
        <f t="shared" si="4"/>
        <v>rokprognozy=2016 i lp=270</v>
      </c>
      <c r="I36" s="584" t="str">
        <f t="shared" si="4"/>
        <v>rokprognozy=2017 i lp=270</v>
      </c>
      <c r="J36" s="584" t="str">
        <f t="shared" si="4"/>
        <v>rokprognozy=2018 i lp=270</v>
      </c>
      <c r="K36" s="584" t="str">
        <f t="shared" si="4"/>
        <v>rokprognozy=2019 i lp=270</v>
      </c>
      <c r="L36" s="584" t="str">
        <f t="shared" si="4"/>
        <v>rokprognozy=2020 i lp=270</v>
      </c>
      <c r="M36" s="584" t="str">
        <f t="shared" si="4"/>
        <v>rokprognozy=2021 i lp=270</v>
      </c>
      <c r="N36" s="584" t="str">
        <f t="shared" si="6"/>
        <v>rokprognozy=2022 i lp=270</v>
      </c>
      <c r="O36" s="584" t="str">
        <f t="shared" si="6"/>
        <v>rokprognozy=2023 i lp=270</v>
      </c>
      <c r="P36" s="584" t="str">
        <f t="shared" si="6"/>
        <v>rokprognozy=2024 i lp=270</v>
      </c>
      <c r="Q36" s="584" t="str">
        <f t="shared" si="6"/>
        <v>rokprognozy=2025 i lp=270</v>
      </c>
      <c r="R36" s="584" t="str">
        <f t="shared" si="6"/>
        <v>rokprognozy=2026 i lp=270</v>
      </c>
      <c r="S36" s="584" t="str">
        <f t="shared" si="6"/>
        <v>rokprognozy=2027 i lp=270</v>
      </c>
      <c r="T36" s="584" t="str">
        <f t="shared" si="6"/>
        <v>rokprognozy=2028 i lp=270</v>
      </c>
      <c r="U36" s="584" t="str">
        <f t="shared" si="6"/>
        <v>rokprognozy=2029 i lp=270</v>
      </c>
      <c r="V36" s="584" t="str">
        <f t="shared" si="6"/>
        <v>rokprognozy=2030 i lp=270</v>
      </c>
      <c r="W36" s="584" t="str">
        <f t="shared" si="6"/>
        <v>rokprognozy=2031 i lp=270</v>
      </c>
      <c r="X36" s="584" t="str">
        <f t="shared" si="6"/>
        <v>rokprognozy=2032 i lp=270</v>
      </c>
      <c r="Y36" s="584" t="str">
        <f t="shared" si="6"/>
        <v>rokprognozy=2033 i lp=270</v>
      </c>
      <c r="Z36" s="584" t="str">
        <f t="shared" si="6"/>
        <v>rokprognozy=2034 i lp=270</v>
      </c>
      <c r="AA36" s="584" t="str">
        <f t="shared" si="6"/>
        <v>rokprognozy=2035 i lp=270</v>
      </c>
      <c r="AB36" s="584" t="str">
        <f t="shared" si="6"/>
        <v>rokprognozy=2036 i lp=270</v>
      </c>
      <c r="AC36" s="584" t="str">
        <f t="shared" si="6"/>
        <v>rokprognozy=2037 i lp=270</v>
      </c>
      <c r="AD36" s="584" t="str">
        <f t="shared" si="7"/>
        <v>rokprognozy=2038 i lp=270</v>
      </c>
      <c r="AE36" s="584" t="str">
        <f t="shared" si="7"/>
        <v>rokprognozy=2039 i lp=270</v>
      </c>
      <c r="AF36" s="584" t="str">
        <f t="shared" si="7"/>
        <v>rokprognozy=2040 i lp=270</v>
      </c>
      <c r="AG36" s="584" t="str">
        <f t="shared" si="7"/>
        <v>rokprognozy=2041 i lp=270</v>
      </c>
      <c r="AH36" s="584" t="str">
        <f t="shared" si="7"/>
        <v>rokprognozy=2042 i lp=270</v>
      </c>
    </row>
    <row r="37" spans="1:34" ht="12.75">
      <c r="A37" s="583">
        <v>280</v>
      </c>
      <c r="B37" s="583">
        <v>4.4</v>
      </c>
      <c r="C37" s="584" t="s">
        <v>405</v>
      </c>
      <c r="D37" s="584" t="str">
        <f t="shared" si="3"/>
        <v>rokprognozy=2013 i lp=280</v>
      </c>
      <c r="E37" s="584" t="str">
        <f t="shared" si="4"/>
        <v>rokprognozy=2013 i lp=280</v>
      </c>
      <c r="F37" s="584" t="str">
        <f t="shared" si="4"/>
        <v>rokprognozy=2014 i lp=280</v>
      </c>
      <c r="G37" s="584" t="str">
        <f t="shared" si="4"/>
        <v>rokprognozy=2015 i lp=280</v>
      </c>
      <c r="H37" s="584" t="str">
        <f t="shared" si="4"/>
        <v>rokprognozy=2016 i lp=280</v>
      </c>
      <c r="I37" s="584" t="str">
        <f t="shared" si="4"/>
        <v>rokprognozy=2017 i lp=280</v>
      </c>
      <c r="J37" s="584" t="str">
        <f t="shared" si="4"/>
        <v>rokprognozy=2018 i lp=280</v>
      </c>
      <c r="K37" s="584" t="str">
        <f t="shared" si="4"/>
        <v>rokprognozy=2019 i lp=280</v>
      </c>
      <c r="L37" s="584" t="str">
        <f t="shared" si="4"/>
        <v>rokprognozy=2020 i lp=280</v>
      </c>
      <c r="M37" s="584" t="str">
        <f t="shared" si="4"/>
        <v>rokprognozy=2021 i lp=280</v>
      </c>
      <c r="N37" s="584" t="str">
        <f t="shared" si="6"/>
        <v>rokprognozy=2022 i lp=280</v>
      </c>
      <c r="O37" s="584" t="str">
        <f t="shared" si="6"/>
        <v>rokprognozy=2023 i lp=280</v>
      </c>
      <c r="P37" s="584" t="str">
        <f t="shared" si="6"/>
        <v>rokprognozy=2024 i lp=280</v>
      </c>
      <c r="Q37" s="584" t="str">
        <f t="shared" si="6"/>
        <v>rokprognozy=2025 i lp=280</v>
      </c>
      <c r="R37" s="584" t="str">
        <f t="shared" si="6"/>
        <v>rokprognozy=2026 i lp=280</v>
      </c>
      <c r="S37" s="584" t="str">
        <f t="shared" si="6"/>
        <v>rokprognozy=2027 i lp=280</v>
      </c>
      <c r="T37" s="584" t="str">
        <f t="shared" si="6"/>
        <v>rokprognozy=2028 i lp=280</v>
      </c>
      <c r="U37" s="584" t="str">
        <f t="shared" si="6"/>
        <v>rokprognozy=2029 i lp=280</v>
      </c>
      <c r="V37" s="584" t="str">
        <f t="shared" si="6"/>
        <v>rokprognozy=2030 i lp=280</v>
      </c>
      <c r="W37" s="584" t="str">
        <f t="shared" si="6"/>
        <v>rokprognozy=2031 i lp=280</v>
      </c>
      <c r="X37" s="584" t="str">
        <f t="shared" si="6"/>
        <v>rokprognozy=2032 i lp=280</v>
      </c>
      <c r="Y37" s="584" t="str">
        <f t="shared" si="6"/>
        <v>rokprognozy=2033 i lp=280</v>
      </c>
      <c r="Z37" s="584" t="str">
        <f t="shared" si="6"/>
        <v>rokprognozy=2034 i lp=280</v>
      </c>
      <c r="AA37" s="584" t="str">
        <f t="shared" si="6"/>
        <v>rokprognozy=2035 i lp=280</v>
      </c>
      <c r="AB37" s="584" t="str">
        <f t="shared" si="6"/>
        <v>rokprognozy=2036 i lp=280</v>
      </c>
      <c r="AC37" s="584" t="str">
        <f t="shared" si="6"/>
        <v>rokprognozy=2037 i lp=280</v>
      </c>
      <c r="AD37" s="584" t="str">
        <f t="shared" si="7"/>
        <v>rokprognozy=2038 i lp=280</v>
      </c>
      <c r="AE37" s="584" t="str">
        <f t="shared" si="7"/>
        <v>rokprognozy=2039 i lp=280</v>
      </c>
      <c r="AF37" s="584" t="str">
        <f t="shared" si="7"/>
        <v>rokprognozy=2040 i lp=280</v>
      </c>
      <c r="AG37" s="584" t="str">
        <f t="shared" si="7"/>
        <v>rokprognozy=2041 i lp=280</v>
      </c>
      <c r="AH37" s="584" t="str">
        <f t="shared" si="7"/>
        <v>rokprognozy=2042 i lp=280</v>
      </c>
    </row>
    <row r="38" spans="1:34" ht="12.75">
      <c r="A38" s="583">
        <v>290</v>
      </c>
      <c r="B38" s="583" t="s">
        <v>60</v>
      </c>
      <c r="C38" s="584" t="s">
        <v>403</v>
      </c>
      <c r="D38" s="584" t="str">
        <f t="shared" si="3"/>
        <v>rokprognozy=2013 i lp=290</v>
      </c>
      <c r="E38" s="584" t="str">
        <f t="shared" si="4"/>
        <v>rokprognozy=2013 i lp=290</v>
      </c>
      <c r="F38" s="584" t="str">
        <f t="shared" si="4"/>
        <v>rokprognozy=2014 i lp=290</v>
      </c>
      <c r="G38" s="584" t="str">
        <f t="shared" si="4"/>
        <v>rokprognozy=2015 i lp=290</v>
      </c>
      <c r="H38" s="584" t="str">
        <f t="shared" si="4"/>
        <v>rokprognozy=2016 i lp=290</v>
      </c>
      <c r="I38" s="584" t="str">
        <f t="shared" si="4"/>
        <v>rokprognozy=2017 i lp=290</v>
      </c>
      <c r="J38" s="584" t="str">
        <f t="shared" si="4"/>
        <v>rokprognozy=2018 i lp=290</v>
      </c>
      <c r="K38" s="584" t="str">
        <f t="shared" si="4"/>
        <v>rokprognozy=2019 i lp=290</v>
      </c>
      <c r="L38" s="584" t="str">
        <f t="shared" si="4"/>
        <v>rokprognozy=2020 i lp=290</v>
      </c>
      <c r="M38" s="584" t="str">
        <f t="shared" si="4"/>
        <v>rokprognozy=2021 i lp=290</v>
      </c>
      <c r="N38" s="584" t="str">
        <f t="shared" si="6"/>
        <v>rokprognozy=2022 i lp=290</v>
      </c>
      <c r="O38" s="584" t="str">
        <f t="shared" si="6"/>
        <v>rokprognozy=2023 i lp=290</v>
      </c>
      <c r="P38" s="584" t="str">
        <f t="shared" si="6"/>
        <v>rokprognozy=2024 i lp=290</v>
      </c>
      <c r="Q38" s="584" t="str">
        <f t="shared" si="6"/>
        <v>rokprognozy=2025 i lp=290</v>
      </c>
      <c r="R38" s="584" t="str">
        <f t="shared" si="6"/>
        <v>rokprognozy=2026 i lp=290</v>
      </c>
      <c r="S38" s="584" t="str">
        <f t="shared" si="6"/>
        <v>rokprognozy=2027 i lp=290</v>
      </c>
      <c r="T38" s="584" t="str">
        <f t="shared" si="6"/>
        <v>rokprognozy=2028 i lp=290</v>
      </c>
      <c r="U38" s="584" t="str">
        <f t="shared" si="6"/>
        <v>rokprognozy=2029 i lp=290</v>
      </c>
      <c r="V38" s="584" t="str">
        <f t="shared" si="6"/>
        <v>rokprognozy=2030 i lp=290</v>
      </c>
      <c r="W38" s="584" t="str">
        <f t="shared" si="6"/>
        <v>rokprognozy=2031 i lp=290</v>
      </c>
      <c r="X38" s="584" t="str">
        <f t="shared" si="6"/>
        <v>rokprognozy=2032 i lp=290</v>
      </c>
      <c r="Y38" s="584" t="str">
        <f t="shared" si="6"/>
        <v>rokprognozy=2033 i lp=290</v>
      </c>
      <c r="Z38" s="584" t="str">
        <f t="shared" si="6"/>
        <v>rokprognozy=2034 i lp=290</v>
      </c>
      <c r="AA38" s="584" t="str">
        <f t="shared" si="6"/>
        <v>rokprognozy=2035 i lp=290</v>
      </c>
      <c r="AB38" s="584" t="str">
        <f t="shared" si="6"/>
        <v>rokprognozy=2036 i lp=290</v>
      </c>
      <c r="AC38" s="584" t="str">
        <f>+"rokprognozy="&amp;AC$9&amp;" i lp="&amp;$A38</f>
        <v>rokprognozy=2037 i lp=290</v>
      </c>
      <c r="AD38" s="584" t="str">
        <f t="shared" si="7"/>
        <v>rokprognozy=2038 i lp=290</v>
      </c>
      <c r="AE38" s="584" t="str">
        <f t="shared" si="7"/>
        <v>rokprognozy=2039 i lp=290</v>
      </c>
      <c r="AF38" s="584" t="str">
        <f t="shared" si="7"/>
        <v>rokprognozy=2040 i lp=290</v>
      </c>
      <c r="AG38" s="584" t="str">
        <f t="shared" si="7"/>
        <v>rokprognozy=2041 i lp=290</v>
      </c>
      <c r="AH38" s="584" t="str">
        <f t="shared" si="7"/>
        <v>rokprognozy=2042 i lp=290</v>
      </c>
    </row>
    <row r="39" spans="1:34" ht="12.75">
      <c r="A39" s="583">
        <v>300</v>
      </c>
      <c r="B39" s="583">
        <v>5</v>
      </c>
      <c r="C39" s="584" t="s">
        <v>61</v>
      </c>
      <c r="D39" s="584" t="str">
        <f t="shared" si="3"/>
        <v>rokprognozy=2013 i lp=300</v>
      </c>
      <c r="E39" s="584" t="str">
        <f t="shared" si="4"/>
        <v>rokprognozy=2013 i lp=300</v>
      </c>
      <c r="F39" s="584" t="str">
        <f t="shared" si="4"/>
        <v>rokprognozy=2014 i lp=300</v>
      </c>
      <c r="G39" s="584" t="str">
        <f t="shared" si="4"/>
        <v>rokprognozy=2015 i lp=300</v>
      </c>
      <c r="H39" s="584" t="str">
        <f t="shared" si="4"/>
        <v>rokprognozy=2016 i lp=300</v>
      </c>
      <c r="I39" s="584" t="str">
        <f t="shared" si="4"/>
        <v>rokprognozy=2017 i lp=300</v>
      </c>
      <c r="J39" s="584" t="str">
        <f t="shared" si="4"/>
        <v>rokprognozy=2018 i lp=300</v>
      </c>
      <c r="K39" s="584" t="str">
        <f t="shared" si="4"/>
        <v>rokprognozy=2019 i lp=300</v>
      </c>
      <c r="L39" s="584" t="str">
        <f t="shared" si="4"/>
        <v>rokprognozy=2020 i lp=300</v>
      </c>
      <c r="M39" s="584" t="str">
        <f t="shared" si="4"/>
        <v>rokprognozy=2021 i lp=300</v>
      </c>
      <c r="N39" s="584" t="str">
        <f t="shared" si="4"/>
        <v>rokprognozy=2022 i lp=300</v>
      </c>
      <c r="O39" s="584" t="str">
        <f t="shared" si="4"/>
        <v>rokprognozy=2023 i lp=300</v>
      </c>
      <c r="P39" s="584" t="str">
        <f t="shared" si="4"/>
        <v>rokprognozy=2024 i lp=300</v>
      </c>
      <c r="Q39" s="584" t="str">
        <f t="shared" si="4"/>
        <v>rokprognozy=2025 i lp=300</v>
      </c>
      <c r="R39" s="584" t="str">
        <f t="shared" si="4"/>
        <v>rokprognozy=2026 i lp=300</v>
      </c>
      <c r="S39" s="584" t="str">
        <f t="shared" si="4"/>
        <v>rokprognozy=2027 i lp=300</v>
      </c>
      <c r="T39" s="584" t="str">
        <f t="shared" si="4"/>
        <v>rokprognozy=2028 i lp=300</v>
      </c>
      <c r="U39" s="584" t="str">
        <f aca="true" t="shared" si="8" ref="N39:AC71">+"rokprognozy="&amp;U$9&amp;" i lp="&amp;$A39</f>
        <v>rokprognozy=2029 i lp=300</v>
      </c>
      <c r="V39" s="584" t="str">
        <f t="shared" si="8"/>
        <v>rokprognozy=2030 i lp=300</v>
      </c>
      <c r="W39" s="584" t="str">
        <f t="shared" si="8"/>
        <v>rokprognozy=2031 i lp=300</v>
      </c>
      <c r="X39" s="584" t="str">
        <f t="shared" si="8"/>
        <v>rokprognozy=2032 i lp=300</v>
      </c>
      <c r="Y39" s="584" t="str">
        <f t="shared" si="8"/>
        <v>rokprognozy=2033 i lp=300</v>
      </c>
      <c r="Z39" s="584" t="str">
        <f t="shared" si="8"/>
        <v>rokprognozy=2034 i lp=300</v>
      </c>
      <c r="AA39" s="584" t="str">
        <f t="shared" si="8"/>
        <v>rokprognozy=2035 i lp=300</v>
      </c>
      <c r="AB39" s="584" t="str">
        <f t="shared" si="8"/>
        <v>rokprognozy=2036 i lp=300</v>
      </c>
      <c r="AC39" s="584" t="str">
        <f t="shared" si="8"/>
        <v>rokprognozy=2037 i lp=300</v>
      </c>
      <c r="AD39" s="584" t="str">
        <f t="shared" si="7"/>
        <v>rokprognozy=2038 i lp=300</v>
      </c>
      <c r="AE39" s="584" t="str">
        <f t="shared" si="7"/>
        <v>rokprognozy=2039 i lp=300</v>
      </c>
      <c r="AF39" s="584" t="str">
        <f t="shared" si="7"/>
        <v>rokprognozy=2040 i lp=300</v>
      </c>
      <c r="AG39" s="584" t="str">
        <f t="shared" si="7"/>
        <v>rokprognozy=2041 i lp=300</v>
      </c>
      <c r="AH39" s="584" t="str">
        <f t="shared" si="7"/>
        <v>rokprognozy=2042 i lp=300</v>
      </c>
    </row>
    <row r="40" spans="1:34" ht="12.75">
      <c r="A40" s="583">
        <v>310</v>
      </c>
      <c r="B40" s="583">
        <v>5.1</v>
      </c>
      <c r="C40" s="584" t="s">
        <v>406</v>
      </c>
      <c r="D40" s="584" t="str">
        <f t="shared" si="3"/>
        <v>rokprognozy=2013 i lp=310</v>
      </c>
      <c r="E40" s="584" t="str">
        <f t="shared" si="4"/>
        <v>rokprognozy=2013 i lp=310</v>
      </c>
      <c r="F40" s="584" t="str">
        <f t="shared" si="4"/>
        <v>rokprognozy=2014 i lp=310</v>
      </c>
      <c r="G40" s="584" t="str">
        <f t="shared" si="4"/>
        <v>rokprognozy=2015 i lp=310</v>
      </c>
      <c r="H40" s="584" t="str">
        <f t="shared" si="4"/>
        <v>rokprognozy=2016 i lp=310</v>
      </c>
      <c r="I40" s="584" t="str">
        <f t="shared" si="4"/>
        <v>rokprognozy=2017 i lp=310</v>
      </c>
      <c r="J40" s="584" t="str">
        <f t="shared" si="4"/>
        <v>rokprognozy=2018 i lp=310</v>
      </c>
      <c r="K40" s="584" t="str">
        <f t="shared" si="4"/>
        <v>rokprognozy=2019 i lp=310</v>
      </c>
      <c r="L40" s="584" t="str">
        <f t="shared" si="4"/>
        <v>rokprognozy=2020 i lp=310</v>
      </c>
      <c r="M40" s="584" t="str">
        <f t="shared" si="4"/>
        <v>rokprognozy=2021 i lp=310</v>
      </c>
      <c r="N40" s="584" t="str">
        <f t="shared" si="8"/>
        <v>rokprognozy=2022 i lp=310</v>
      </c>
      <c r="O40" s="584" t="str">
        <f t="shared" si="8"/>
        <v>rokprognozy=2023 i lp=310</v>
      </c>
      <c r="P40" s="584" t="str">
        <f t="shared" si="8"/>
        <v>rokprognozy=2024 i lp=310</v>
      </c>
      <c r="Q40" s="584" t="str">
        <f t="shared" si="8"/>
        <v>rokprognozy=2025 i lp=310</v>
      </c>
      <c r="R40" s="584" t="str">
        <f t="shared" si="8"/>
        <v>rokprognozy=2026 i lp=310</v>
      </c>
      <c r="S40" s="584" t="str">
        <f t="shared" si="8"/>
        <v>rokprognozy=2027 i lp=310</v>
      </c>
      <c r="T40" s="584" t="str">
        <f t="shared" si="8"/>
        <v>rokprognozy=2028 i lp=310</v>
      </c>
      <c r="U40" s="584" t="str">
        <f t="shared" si="8"/>
        <v>rokprognozy=2029 i lp=310</v>
      </c>
      <c r="V40" s="584" t="str">
        <f t="shared" si="8"/>
        <v>rokprognozy=2030 i lp=310</v>
      </c>
      <c r="W40" s="584" t="str">
        <f t="shared" si="8"/>
        <v>rokprognozy=2031 i lp=310</v>
      </c>
      <c r="X40" s="584" t="str">
        <f t="shared" si="8"/>
        <v>rokprognozy=2032 i lp=310</v>
      </c>
      <c r="Y40" s="584" t="str">
        <f t="shared" si="8"/>
        <v>rokprognozy=2033 i lp=310</v>
      </c>
      <c r="Z40" s="584" t="str">
        <f t="shared" si="8"/>
        <v>rokprognozy=2034 i lp=310</v>
      </c>
      <c r="AA40" s="584" t="str">
        <f t="shared" si="8"/>
        <v>rokprognozy=2035 i lp=310</v>
      </c>
      <c r="AB40" s="584" t="str">
        <f t="shared" si="8"/>
        <v>rokprognozy=2036 i lp=310</v>
      </c>
      <c r="AC40" s="584" t="str">
        <f t="shared" si="8"/>
        <v>rokprognozy=2037 i lp=310</v>
      </c>
      <c r="AD40" s="584" t="str">
        <f aca="true" t="shared" si="9" ref="AD40:AG59">+"rokprognozy="&amp;AD$9&amp;" i lp="&amp;$A40</f>
        <v>rokprognozy=2038 i lp=310</v>
      </c>
      <c r="AE40" s="584" t="str">
        <f t="shared" si="9"/>
        <v>rokprognozy=2039 i lp=310</v>
      </c>
      <c r="AF40" s="584" t="str">
        <f t="shared" si="9"/>
        <v>rokprognozy=2040 i lp=310</v>
      </c>
      <c r="AG40" s="584" t="str">
        <f t="shared" si="9"/>
        <v>rokprognozy=2041 i lp=310</v>
      </c>
      <c r="AH40" s="584" t="str">
        <f aca="true" t="shared" si="10" ref="AH40:AH59">+"rokprognozy="&amp;AH$9&amp;" i lp="&amp;$A40</f>
        <v>rokprognozy=2042 i lp=310</v>
      </c>
    </row>
    <row r="41" spans="1:34" ht="12.75">
      <c r="A41" s="583">
        <v>320</v>
      </c>
      <c r="B41" s="583" t="s">
        <v>64</v>
      </c>
      <c r="C41" s="584" t="s">
        <v>407</v>
      </c>
      <c r="D41" s="584" t="str">
        <f t="shared" si="3"/>
        <v>rokprognozy=2013 i lp=320</v>
      </c>
      <c r="E41" s="584" t="str">
        <f t="shared" si="4"/>
        <v>rokprognozy=2013 i lp=320</v>
      </c>
      <c r="F41" s="584" t="str">
        <f t="shared" si="4"/>
        <v>rokprognozy=2014 i lp=320</v>
      </c>
      <c r="G41" s="584" t="str">
        <f t="shared" si="4"/>
        <v>rokprognozy=2015 i lp=320</v>
      </c>
      <c r="H41" s="584" t="str">
        <f t="shared" si="4"/>
        <v>rokprognozy=2016 i lp=320</v>
      </c>
      <c r="I41" s="584" t="str">
        <f t="shared" si="4"/>
        <v>rokprognozy=2017 i lp=320</v>
      </c>
      <c r="J41" s="584" t="str">
        <f t="shared" si="4"/>
        <v>rokprognozy=2018 i lp=320</v>
      </c>
      <c r="K41" s="584" t="str">
        <f t="shared" si="4"/>
        <v>rokprognozy=2019 i lp=320</v>
      </c>
      <c r="L41" s="584" t="str">
        <f t="shared" si="4"/>
        <v>rokprognozy=2020 i lp=320</v>
      </c>
      <c r="M41" s="584" t="str">
        <f t="shared" si="4"/>
        <v>rokprognozy=2021 i lp=320</v>
      </c>
      <c r="N41" s="584" t="str">
        <f t="shared" si="8"/>
        <v>rokprognozy=2022 i lp=320</v>
      </c>
      <c r="O41" s="584" t="str">
        <f t="shared" si="8"/>
        <v>rokprognozy=2023 i lp=320</v>
      </c>
      <c r="P41" s="584" t="str">
        <f t="shared" si="8"/>
        <v>rokprognozy=2024 i lp=320</v>
      </c>
      <c r="Q41" s="584" t="str">
        <f t="shared" si="8"/>
        <v>rokprognozy=2025 i lp=320</v>
      </c>
      <c r="R41" s="584" t="str">
        <f t="shared" si="8"/>
        <v>rokprognozy=2026 i lp=320</v>
      </c>
      <c r="S41" s="584" t="str">
        <f t="shared" si="8"/>
        <v>rokprognozy=2027 i lp=320</v>
      </c>
      <c r="T41" s="584" t="str">
        <f t="shared" si="8"/>
        <v>rokprognozy=2028 i lp=320</v>
      </c>
      <c r="U41" s="584" t="str">
        <f t="shared" si="8"/>
        <v>rokprognozy=2029 i lp=320</v>
      </c>
      <c r="V41" s="584" t="str">
        <f t="shared" si="8"/>
        <v>rokprognozy=2030 i lp=320</v>
      </c>
      <c r="W41" s="584" t="str">
        <f t="shared" si="8"/>
        <v>rokprognozy=2031 i lp=320</v>
      </c>
      <c r="X41" s="584" t="str">
        <f t="shared" si="8"/>
        <v>rokprognozy=2032 i lp=320</v>
      </c>
      <c r="Y41" s="584" t="str">
        <f t="shared" si="8"/>
        <v>rokprognozy=2033 i lp=320</v>
      </c>
      <c r="Z41" s="584" t="str">
        <f t="shared" si="8"/>
        <v>rokprognozy=2034 i lp=320</v>
      </c>
      <c r="AA41" s="584" t="str">
        <f t="shared" si="8"/>
        <v>rokprognozy=2035 i lp=320</v>
      </c>
      <c r="AB41" s="584" t="str">
        <f t="shared" si="8"/>
        <v>rokprognozy=2036 i lp=320</v>
      </c>
      <c r="AC41" s="584" t="str">
        <f t="shared" si="8"/>
        <v>rokprognozy=2037 i lp=320</v>
      </c>
      <c r="AD41" s="584" t="str">
        <f t="shared" si="9"/>
        <v>rokprognozy=2038 i lp=320</v>
      </c>
      <c r="AE41" s="584" t="str">
        <f t="shared" si="9"/>
        <v>rokprognozy=2039 i lp=320</v>
      </c>
      <c r="AF41" s="584" t="str">
        <f t="shared" si="9"/>
        <v>rokprognozy=2040 i lp=320</v>
      </c>
      <c r="AG41" s="584" t="str">
        <f t="shared" si="9"/>
        <v>rokprognozy=2041 i lp=320</v>
      </c>
      <c r="AH41" s="584" t="str">
        <f t="shared" si="10"/>
        <v>rokprognozy=2042 i lp=320</v>
      </c>
    </row>
    <row r="42" spans="1:34" ht="12.75">
      <c r="A42" s="583">
        <v>330</v>
      </c>
      <c r="B42" s="583" t="s">
        <v>66</v>
      </c>
      <c r="C42" s="584" t="s">
        <v>408</v>
      </c>
      <c r="D42" s="584" t="str">
        <f t="shared" si="3"/>
        <v>rokprognozy=2013 i lp=330</v>
      </c>
      <c r="E42" s="584" t="str">
        <f t="shared" si="4"/>
        <v>rokprognozy=2013 i lp=330</v>
      </c>
      <c r="F42" s="584" t="str">
        <f t="shared" si="4"/>
        <v>rokprognozy=2014 i lp=330</v>
      </c>
      <c r="G42" s="584" t="str">
        <f t="shared" si="4"/>
        <v>rokprognozy=2015 i lp=330</v>
      </c>
      <c r="H42" s="584" t="str">
        <f t="shared" si="4"/>
        <v>rokprognozy=2016 i lp=330</v>
      </c>
      <c r="I42" s="584" t="str">
        <f t="shared" si="4"/>
        <v>rokprognozy=2017 i lp=330</v>
      </c>
      <c r="J42" s="584" t="str">
        <f t="shared" si="4"/>
        <v>rokprognozy=2018 i lp=330</v>
      </c>
      <c r="K42" s="584" t="str">
        <f t="shared" si="4"/>
        <v>rokprognozy=2019 i lp=330</v>
      </c>
      <c r="L42" s="584" t="str">
        <f t="shared" si="4"/>
        <v>rokprognozy=2020 i lp=330</v>
      </c>
      <c r="M42" s="584" t="str">
        <f t="shared" si="4"/>
        <v>rokprognozy=2021 i lp=330</v>
      </c>
      <c r="N42" s="584" t="str">
        <f t="shared" si="8"/>
        <v>rokprognozy=2022 i lp=330</v>
      </c>
      <c r="O42" s="584" t="str">
        <f t="shared" si="8"/>
        <v>rokprognozy=2023 i lp=330</v>
      </c>
      <c r="P42" s="584" t="str">
        <f t="shared" si="8"/>
        <v>rokprognozy=2024 i lp=330</v>
      </c>
      <c r="Q42" s="584" t="str">
        <f t="shared" si="8"/>
        <v>rokprognozy=2025 i lp=330</v>
      </c>
      <c r="R42" s="584" t="str">
        <f t="shared" si="8"/>
        <v>rokprognozy=2026 i lp=330</v>
      </c>
      <c r="S42" s="584" t="str">
        <f t="shared" si="8"/>
        <v>rokprognozy=2027 i lp=330</v>
      </c>
      <c r="T42" s="584" t="str">
        <f t="shared" si="8"/>
        <v>rokprognozy=2028 i lp=330</v>
      </c>
      <c r="U42" s="584" t="str">
        <f t="shared" si="8"/>
        <v>rokprognozy=2029 i lp=330</v>
      </c>
      <c r="V42" s="584" t="str">
        <f t="shared" si="8"/>
        <v>rokprognozy=2030 i lp=330</v>
      </c>
      <c r="W42" s="584" t="str">
        <f t="shared" si="8"/>
        <v>rokprognozy=2031 i lp=330</v>
      </c>
      <c r="X42" s="584" t="str">
        <f t="shared" si="8"/>
        <v>rokprognozy=2032 i lp=330</v>
      </c>
      <c r="Y42" s="584" t="str">
        <f t="shared" si="8"/>
        <v>rokprognozy=2033 i lp=330</v>
      </c>
      <c r="Z42" s="584" t="str">
        <f t="shared" si="8"/>
        <v>rokprognozy=2034 i lp=330</v>
      </c>
      <c r="AA42" s="584" t="str">
        <f t="shared" si="8"/>
        <v>rokprognozy=2035 i lp=330</v>
      </c>
      <c r="AB42" s="584" t="str">
        <f t="shared" si="8"/>
        <v>rokprognozy=2036 i lp=330</v>
      </c>
      <c r="AC42" s="584" t="str">
        <f t="shared" si="8"/>
        <v>rokprognozy=2037 i lp=330</v>
      </c>
      <c r="AD42" s="584" t="str">
        <f t="shared" si="9"/>
        <v>rokprognozy=2038 i lp=330</v>
      </c>
      <c r="AE42" s="584" t="str">
        <f t="shared" si="9"/>
        <v>rokprognozy=2039 i lp=330</v>
      </c>
      <c r="AF42" s="584" t="str">
        <f t="shared" si="9"/>
        <v>rokprognozy=2040 i lp=330</v>
      </c>
      <c r="AG42" s="584" t="str">
        <f t="shared" si="9"/>
        <v>rokprognozy=2041 i lp=330</v>
      </c>
      <c r="AH42" s="584" t="str">
        <f t="shared" si="10"/>
        <v>rokprognozy=2042 i lp=330</v>
      </c>
    </row>
    <row r="43" spans="1:34" ht="12.75">
      <c r="A43" s="583">
        <v>340</v>
      </c>
      <c r="B43" s="583">
        <v>5.2</v>
      </c>
      <c r="C43" s="584" t="s">
        <v>409</v>
      </c>
      <c r="D43" s="584" t="str">
        <f t="shared" si="3"/>
        <v>rokprognozy=2013 i lp=340</v>
      </c>
      <c r="E43" s="584" t="str">
        <f t="shared" si="4"/>
        <v>rokprognozy=2013 i lp=340</v>
      </c>
      <c r="F43" s="584" t="str">
        <f t="shared" si="4"/>
        <v>rokprognozy=2014 i lp=340</v>
      </c>
      <c r="G43" s="584" t="str">
        <f t="shared" si="4"/>
        <v>rokprognozy=2015 i lp=340</v>
      </c>
      <c r="H43" s="584" t="str">
        <f t="shared" si="4"/>
        <v>rokprognozy=2016 i lp=340</v>
      </c>
      <c r="I43" s="584" t="str">
        <f t="shared" si="4"/>
        <v>rokprognozy=2017 i lp=340</v>
      </c>
      <c r="J43" s="584" t="str">
        <f t="shared" si="4"/>
        <v>rokprognozy=2018 i lp=340</v>
      </c>
      <c r="K43" s="584" t="str">
        <f t="shared" si="4"/>
        <v>rokprognozy=2019 i lp=340</v>
      </c>
      <c r="L43" s="584" t="str">
        <f t="shared" si="4"/>
        <v>rokprognozy=2020 i lp=340</v>
      </c>
      <c r="M43" s="584" t="str">
        <f t="shared" si="4"/>
        <v>rokprognozy=2021 i lp=340</v>
      </c>
      <c r="N43" s="584" t="str">
        <f t="shared" si="8"/>
        <v>rokprognozy=2022 i lp=340</v>
      </c>
      <c r="O43" s="584" t="str">
        <f t="shared" si="8"/>
        <v>rokprognozy=2023 i lp=340</v>
      </c>
      <c r="P43" s="584" t="str">
        <f t="shared" si="8"/>
        <v>rokprognozy=2024 i lp=340</v>
      </c>
      <c r="Q43" s="584" t="str">
        <f t="shared" si="8"/>
        <v>rokprognozy=2025 i lp=340</v>
      </c>
      <c r="R43" s="584" t="str">
        <f t="shared" si="8"/>
        <v>rokprognozy=2026 i lp=340</v>
      </c>
      <c r="S43" s="584" t="str">
        <f t="shared" si="8"/>
        <v>rokprognozy=2027 i lp=340</v>
      </c>
      <c r="T43" s="584" t="str">
        <f t="shared" si="8"/>
        <v>rokprognozy=2028 i lp=340</v>
      </c>
      <c r="U43" s="584" t="str">
        <f t="shared" si="8"/>
        <v>rokprognozy=2029 i lp=340</v>
      </c>
      <c r="V43" s="584" t="str">
        <f t="shared" si="8"/>
        <v>rokprognozy=2030 i lp=340</v>
      </c>
      <c r="W43" s="584" t="str">
        <f t="shared" si="8"/>
        <v>rokprognozy=2031 i lp=340</v>
      </c>
      <c r="X43" s="584" t="str">
        <f t="shared" si="8"/>
        <v>rokprognozy=2032 i lp=340</v>
      </c>
      <c r="Y43" s="584" t="str">
        <f t="shared" si="8"/>
        <v>rokprognozy=2033 i lp=340</v>
      </c>
      <c r="Z43" s="584" t="str">
        <f t="shared" si="8"/>
        <v>rokprognozy=2034 i lp=340</v>
      </c>
      <c r="AA43" s="584" t="str">
        <f t="shared" si="8"/>
        <v>rokprognozy=2035 i lp=340</v>
      </c>
      <c r="AB43" s="584" t="str">
        <f t="shared" si="8"/>
        <v>rokprognozy=2036 i lp=340</v>
      </c>
      <c r="AC43" s="584" t="str">
        <f t="shared" si="8"/>
        <v>rokprognozy=2037 i lp=340</v>
      </c>
      <c r="AD43" s="584" t="str">
        <f t="shared" si="9"/>
        <v>rokprognozy=2038 i lp=340</v>
      </c>
      <c r="AE43" s="584" t="str">
        <f t="shared" si="9"/>
        <v>rokprognozy=2039 i lp=340</v>
      </c>
      <c r="AF43" s="584" t="str">
        <f t="shared" si="9"/>
        <v>rokprognozy=2040 i lp=340</v>
      </c>
      <c r="AG43" s="584" t="str">
        <f t="shared" si="9"/>
        <v>rokprognozy=2041 i lp=340</v>
      </c>
      <c r="AH43" s="584" t="str">
        <f t="shared" si="10"/>
        <v>rokprognozy=2042 i lp=340</v>
      </c>
    </row>
    <row r="44" spans="1:34" ht="12.75">
      <c r="A44" s="583">
        <v>350</v>
      </c>
      <c r="B44" s="583">
        <v>6</v>
      </c>
      <c r="C44" s="584" t="s">
        <v>70</v>
      </c>
      <c r="D44" s="584" t="str">
        <f t="shared" si="3"/>
        <v>rokprognozy=2013 i lp=350</v>
      </c>
      <c r="E44" s="584" t="str">
        <f t="shared" si="4"/>
        <v>rokprognozy=2013 i lp=350</v>
      </c>
      <c r="F44" s="584" t="str">
        <f t="shared" si="4"/>
        <v>rokprognozy=2014 i lp=350</v>
      </c>
      <c r="G44" s="584" t="str">
        <f t="shared" si="4"/>
        <v>rokprognozy=2015 i lp=350</v>
      </c>
      <c r="H44" s="584" t="str">
        <f t="shared" si="4"/>
        <v>rokprognozy=2016 i lp=350</v>
      </c>
      <c r="I44" s="584" t="str">
        <f t="shared" si="4"/>
        <v>rokprognozy=2017 i lp=350</v>
      </c>
      <c r="J44" s="584" t="str">
        <f t="shared" si="4"/>
        <v>rokprognozy=2018 i lp=350</v>
      </c>
      <c r="K44" s="584" t="str">
        <f t="shared" si="4"/>
        <v>rokprognozy=2019 i lp=350</v>
      </c>
      <c r="L44" s="584" t="str">
        <f t="shared" si="4"/>
        <v>rokprognozy=2020 i lp=350</v>
      </c>
      <c r="M44" s="584" t="str">
        <f t="shared" si="4"/>
        <v>rokprognozy=2021 i lp=350</v>
      </c>
      <c r="N44" s="584" t="str">
        <f t="shared" si="8"/>
        <v>rokprognozy=2022 i lp=350</v>
      </c>
      <c r="O44" s="584" t="str">
        <f t="shared" si="8"/>
        <v>rokprognozy=2023 i lp=350</v>
      </c>
      <c r="P44" s="584" t="str">
        <f t="shared" si="8"/>
        <v>rokprognozy=2024 i lp=350</v>
      </c>
      <c r="Q44" s="584" t="str">
        <f t="shared" si="8"/>
        <v>rokprognozy=2025 i lp=350</v>
      </c>
      <c r="R44" s="584" t="str">
        <f t="shared" si="8"/>
        <v>rokprognozy=2026 i lp=350</v>
      </c>
      <c r="S44" s="584" t="str">
        <f t="shared" si="8"/>
        <v>rokprognozy=2027 i lp=350</v>
      </c>
      <c r="T44" s="584" t="str">
        <f t="shared" si="8"/>
        <v>rokprognozy=2028 i lp=350</v>
      </c>
      <c r="U44" s="584" t="str">
        <f t="shared" si="8"/>
        <v>rokprognozy=2029 i lp=350</v>
      </c>
      <c r="V44" s="584" t="str">
        <f t="shared" si="8"/>
        <v>rokprognozy=2030 i lp=350</v>
      </c>
      <c r="W44" s="584" t="str">
        <f t="shared" si="8"/>
        <v>rokprognozy=2031 i lp=350</v>
      </c>
      <c r="X44" s="584" t="str">
        <f t="shared" si="8"/>
        <v>rokprognozy=2032 i lp=350</v>
      </c>
      <c r="Y44" s="584" t="str">
        <f t="shared" si="8"/>
        <v>rokprognozy=2033 i lp=350</v>
      </c>
      <c r="Z44" s="584" t="str">
        <f t="shared" si="8"/>
        <v>rokprognozy=2034 i lp=350</v>
      </c>
      <c r="AA44" s="584" t="str">
        <f t="shared" si="8"/>
        <v>rokprognozy=2035 i lp=350</v>
      </c>
      <c r="AB44" s="584" t="str">
        <f t="shared" si="8"/>
        <v>rokprognozy=2036 i lp=350</v>
      </c>
      <c r="AC44" s="584" t="str">
        <f t="shared" si="8"/>
        <v>rokprognozy=2037 i lp=350</v>
      </c>
      <c r="AD44" s="584" t="str">
        <f t="shared" si="9"/>
        <v>rokprognozy=2038 i lp=350</v>
      </c>
      <c r="AE44" s="584" t="str">
        <f t="shared" si="9"/>
        <v>rokprognozy=2039 i lp=350</v>
      </c>
      <c r="AF44" s="584" t="str">
        <f t="shared" si="9"/>
        <v>rokprognozy=2040 i lp=350</v>
      </c>
      <c r="AG44" s="584" t="str">
        <f t="shared" si="9"/>
        <v>rokprognozy=2041 i lp=350</v>
      </c>
      <c r="AH44" s="584" t="str">
        <f t="shared" si="10"/>
        <v>rokprognozy=2042 i lp=350</v>
      </c>
    </row>
    <row r="45" spans="1:34" ht="12.75">
      <c r="A45" s="583">
        <v>360</v>
      </c>
      <c r="B45" s="583">
        <v>6.1</v>
      </c>
      <c r="C45" s="584" t="s">
        <v>410</v>
      </c>
      <c r="D45" s="584" t="str">
        <f t="shared" si="3"/>
        <v>rokprognozy=2013 i lp=360</v>
      </c>
      <c r="E45" s="584" t="str">
        <f t="shared" si="4"/>
        <v>rokprognozy=2013 i lp=360</v>
      </c>
      <c r="F45" s="584" t="str">
        <f t="shared" si="4"/>
        <v>rokprognozy=2014 i lp=360</v>
      </c>
      <c r="G45" s="584" t="str">
        <f t="shared" si="4"/>
        <v>rokprognozy=2015 i lp=360</v>
      </c>
      <c r="H45" s="584" t="str">
        <f t="shared" si="4"/>
        <v>rokprognozy=2016 i lp=360</v>
      </c>
      <c r="I45" s="584" t="str">
        <f t="shared" si="4"/>
        <v>rokprognozy=2017 i lp=360</v>
      </c>
      <c r="J45" s="584" t="str">
        <f t="shared" si="4"/>
        <v>rokprognozy=2018 i lp=360</v>
      </c>
      <c r="K45" s="584" t="str">
        <f t="shared" si="4"/>
        <v>rokprognozy=2019 i lp=360</v>
      </c>
      <c r="L45" s="584" t="str">
        <f t="shared" si="4"/>
        <v>rokprognozy=2020 i lp=360</v>
      </c>
      <c r="M45" s="584" t="str">
        <f t="shared" si="4"/>
        <v>rokprognozy=2021 i lp=360</v>
      </c>
      <c r="N45" s="584" t="str">
        <f t="shared" si="8"/>
        <v>rokprognozy=2022 i lp=360</v>
      </c>
      <c r="O45" s="584" t="str">
        <f t="shared" si="8"/>
        <v>rokprognozy=2023 i lp=360</v>
      </c>
      <c r="P45" s="584" t="str">
        <f t="shared" si="8"/>
        <v>rokprognozy=2024 i lp=360</v>
      </c>
      <c r="Q45" s="584" t="str">
        <f t="shared" si="8"/>
        <v>rokprognozy=2025 i lp=360</v>
      </c>
      <c r="R45" s="584" t="str">
        <f t="shared" si="8"/>
        <v>rokprognozy=2026 i lp=360</v>
      </c>
      <c r="S45" s="584" t="str">
        <f t="shared" si="8"/>
        <v>rokprognozy=2027 i lp=360</v>
      </c>
      <c r="T45" s="584" t="str">
        <f t="shared" si="8"/>
        <v>rokprognozy=2028 i lp=360</v>
      </c>
      <c r="U45" s="584" t="str">
        <f t="shared" si="8"/>
        <v>rokprognozy=2029 i lp=360</v>
      </c>
      <c r="V45" s="584" t="str">
        <f t="shared" si="8"/>
        <v>rokprognozy=2030 i lp=360</v>
      </c>
      <c r="W45" s="584" t="str">
        <f t="shared" si="8"/>
        <v>rokprognozy=2031 i lp=360</v>
      </c>
      <c r="X45" s="584" t="str">
        <f t="shared" si="8"/>
        <v>rokprognozy=2032 i lp=360</v>
      </c>
      <c r="Y45" s="584" t="str">
        <f t="shared" si="8"/>
        <v>rokprognozy=2033 i lp=360</v>
      </c>
      <c r="Z45" s="584" t="str">
        <f t="shared" si="8"/>
        <v>rokprognozy=2034 i lp=360</v>
      </c>
      <c r="AA45" s="584" t="str">
        <f t="shared" si="8"/>
        <v>rokprognozy=2035 i lp=360</v>
      </c>
      <c r="AB45" s="584" t="str">
        <f t="shared" si="8"/>
        <v>rokprognozy=2036 i lp=360</v>
      </c>
      <c r="AC45" s="584" t="str">
        <f t="shared" si="8"/>
        <v>rokprognozy=2037 i lp=360</v>
      </c>
      <c r="AD45" s="584" t="str">
        <f t="shared" si="9"/>
        <v>rokprognozy=2038 i lp=360</v>
      </c>
      <c r="AE45" s="584" t="str">
        <f t="shared" si="9"/>
        <v>rokprognozy=2039 i lp=360</v>
      </c>
      <c r="AF45" s="584" t="str">
        <f t="shared" si="9"/>
        <v>rokprognozy=2040 i lp=360</v>
      </c>
      <c r="AG45" s="584" t="str">
        <f t="shared" si="9"/>
        <v>rokprognozy=2041 i lp=360</v>
      </c>
      <c r="AH45" s="584" t="str">
        <f t="shared" si="10"/>
        <v>rokprognozy=2042 i lp=360</v>
      </c>
    </row>
    <row r="46" spans="1:34" ht="12.75">
      <c r="A46" s="583">
        <v>370</v>
      </c>
      <c r="B46" s="583" t="s">
        <v>73</v>
      </c>
      <c r="C46" s="584" t="s">
        <v>411</v>
      </c>
      <c r="D46" s="584" t="str">
        <f t="shared" si="3"/>
        <v>rokprognozy=2013 i lp=370</v>
      </c>
      <c r="E46" s="584" t="str">
        <f t="shared" si="4"/>
        <v>rokprognozy=2013 i lp=370</v>
      </c>
      <c r="F46" s="584" t="str">
        <f t="shared" si="4"/>
        <v>rokprognozy=2014 i lp=370</v>
      </c>
      <c r="G46" s="584" t="str">
        <f t="shared" si="4"/>
        <v>rokprognozy=2015 i lp=370</v>
      </c>
      <c r="H46" s="584" t="str">
        <f t="shared" si="4"/>
        <v>rokprognozy=2016 i lp=370</v>
      </c>
      <c r="I46" s="584" t="str">
        <f t="shared" si="4"/>
        <v>rokprognozy=2017 i lp=370</v>
      </c>
      <c r="J46" s="584" t="str">
        <f t="shared" si="4"/>
        <v>rokprognozy=2018 i lp=370</v>
      </c>
      <c r="K46" s="584" t="str">
        <f t="shared" si="4"/>
        <v>rokprognozy=2019 i lp=370</v>
      </c>
      <c r="L46" s="584" t="str">
        <f t="shared" si="4"/>
        <v>rokprognozy=2020 i lp=370</v>
      </c>
      <c r="M46" s="584" t="str">
        <f t="shared" si="4"/>
        <v>rokprognozy=2021 i lp=370</v>
      </c>
      <c r="N46" s="584" t="str">
        <f t="shared" si="8"/>
        <v>rokprognozy=2022 i lp=370</v>
      </c>
      <c r="O46" s="584" t="str">
        <f t="shared" si="8"/>
        <v>rokprognozy=2023 i lp=370</v>
      </c>
      <c r="P46" s="584" t="str">
        <f t="shared" si="8"/>
        <v>rokprognozy=2024 i lp=370</v>
      </c>
      <c r="Q46" s="584" t="str">
        <f t="shared" si="8"/>
        <v>rokprognozy=2025 i lp=370</v>
      </c>
      <c r="R46" s="584" t="str">
        <f t="shared" si="8"/>
        <v>rokprognozy=2026 i lp=370</v>
      </c>
      <c r="S46" s="584" t="str">
        <f t="shared" si="8"/>
        <v>rokprognozy=2027 i lp=370</v>
      </c>
      <c r="T46" s="584" t="str">
        <f t="shared" si="8"/>
        <v>rokprognozy=2028 i lp=370</v>
      </c>
      <c r="U46" s="584" t="str">
        <f t="shared" si="8"/>
        <v>rokprognozy=2029 i lp=370</v>
      </c>
      <c r="V46" s="584" t="str">
        <f t="shared" si="8"/>
        <v>rokprognozy=2030 i lp=370</v>
      </c>
      <c r="W46" s="584" t="str">
        <f t="shared" si="8"/>
        <v>rokprognozy=2031 i lp=370</v>
      </c>
      <c r="X46" s="584" t="str">
        <f t="shared" si="8"/>
        <v>rokprognozy=2032 i lp=370</v>
      </c>
      <c r="Y46" s="584" t="str">
        <f t="shared" si="8"/>
        <v>rokprognozy=2033 i lp=370</v>
      </c>
      <c r="Z46" s="584" t="str">
        <f t="shared" si="8"/>
        <v>rokprognozy=2034 i lp=370</v>
      </c>
      <c r="AA46" s="584" t="str">
        <f t="shared" si="8"/>
        <v>rokprognozy=2035 i lp=370</v>
      </c>
      <c r="AB46" s="584" t="str">
        <f t="shared" si="8"/>
        <v>rokprognozy=2036 i lp=370</v>
      </c>
      <c r="AC46" s="584" t="str">
        <f t="shared" si="8"/>
        <v>rokprognozy=2037 i lp=370</v>
      </c>
      <c r="AD46" s="584" t="str">
        <f t="shared" si="9"/>
        <v>rokprognozy=2038 i lp=370</v>
      </c>
      <c r="AE46" s="584" t="str">
        <f t="shared" si="9"/>
        <v>rokprognozy=2039 i lp=370</v>
      </c>
      <c r="AF46" s="584" t="str">
        <f t="shared" si="9"/>
        <v>rokprognozy=2040 i lp=370</v>
      </c>
      <c r="AG46" s="584" t="str">
        <f t="shared" si="9"/>
        <v>rokprognozy=2041 i lp=370</v>
      </c>
      <c r="AH46" s="584" t="str">
        <f t="shared" si="10"/>
        <v>rokprognozy=2042 i lp=370</v>
      </c>
    </row>
    <row r="47" spans="1:34" ht="12.75">
      <c r="A47" s="583">
        <v>380</v>
      </c>
      <c r="B47" s="583">
        <v>6.2</v>
      </c>
      <c r="C47" s="584" t="s">
        <v>412</v>
      </c>
      <c r="D47" s="584" t="str">
        <f t="shared" si="3"/>
        <v>rokprognozy=2013 i lp=380</v>
      </c>
      <c r="E47" s="584" t="str">
        <f t="shared" si="4"/>
        <v>rokprognozy=2013 i lp=380</v>
      </c>
      <c r="F47" s="584" t="str">
        <f t="shared" si="4"/>
        <v>rokprognozy=2014 i lp=380</v>
      </c>
      <c r="G47" s="584" t="str">
        <f t="shared" si="4"/>
        <v>rokprognozy=2015 i lp=380</v>
      </c>
      <c r="H47" s="584" t="str">
        <f t="shared" si="4"/>
        <v>rokprognozy=2016 i lp=380</v>
      </c>
      <c r="I47" s="584" t="str">
        <f t="shared" si="4"/>
        <v>rokprognozy=2017 i lp=380</v>
      </c>
      <c r="J47" s="584" t="str">
        <f t="shared" si="4"/>
        <v>rokprognozy=2018 i lp=380</v>
      </c>
      <c r="K47" s="584" t="str">
        <f t="shared" si="4"/>
        <v>rokprognozy=2019 i lp=380</v>
      </c>
      <c r="L47" s="584" t="str">
        <f t="shared" si="4"/>
        <v>rokprognozy=2020 i lp=380</v>
      </c>
      <c r="M47" s="584" t="str">
        <f t="shared" si="4"/>
        <v>rokprognozy=2021 i lp=380</v>
      </c>
      <c r="N47" s="584" t="str">
        <f t="shared" si="8"/>
        <v>rokprognozy=2022 i lp=380</v>
      </c>
      <c r="O47" s="584" t="str">
        <f t="shared" si="8"/>
        <v>rokprognozy=2023 i lp=380</v>
      </c>
      <c r="P47" s="584" t="str">
        <f t="shared" si="8"/>
        <v>rokprognozy=2024 i lp=380</v>
      </c>
      <c r="Q47" s="584" t="str">
        <f t="shared" si="8"/>
        <v>rokprognozy=2025 i lp=380</v>
      </c>
      <c r="R47" s="584" t="str">
        <f t="shared" si="8"/>
        <v>rokprognozy=2026 i lp=380</v>
      </c>
      <c r="S47" s="584" t="str">
        <f t="shared" si="8"/>
        <v>rokprognozy=2027 i lp=380</v>
      </c>
      <c r="T47" s="584" t="str">
        <f t="shared" si="8"/>
        <v>rokprognozy=2028 i lp=380</v>
      </c>
      <c r="U47" s="584" t="str">
        <f t="shared" si="8"/>
        <v>rokprognozy=2029 i lp=380</v>
      </c>
      <c r="V47" s="584" t="str">
        <f t="shared" si="8"/>
        <v>rokprognozy=2030 i lp=380</v>
      </c>
      <c r="W47" s="584" t="str">
        <f t="shared" si="8"/>
        <v>rokprognozy=2031 i lp=380</v>
      </c>
      <c r="X47" s="584" t="str">
        <f t="shared" si="8"/>
        <v>rokprognozy=2032 i lp=380</v>
      </c>
      <c r="Y47" s="584" t="str">
        <f t="shared" si="8"/>
        <v>rokprognozy=2033 i lp=380</v>
      </c>
      <c r="Z47" s="584" t="str">
        <f t="shared" si="8"/>
        <v>rokprognozy=2034 i lp=380</v>
      </c>
      <c r="AA47" s="584" t="str">
        <f t="shared" si="8"/>
        <v>rokprognozy=2035 i lp=380</v>
      </c>
      <c r="AB47" s="584" t="str">
        <f t="shared" si="8"/>
        <v>rokprognozy=2036 i lp=380</v>
      </c>
      <c r="AC47" s="584" t="str">
        <f t="shared" si="8"/>
        <v>rokprognozy=2037 i lp=380</v>
      </c>
      <c r="AD47" s="584" t="str">
        <f t="shared" si="9"/>
        <v>rokprognozy=2038 i lp=380</v>
      </c>
      <c r="AE47" s="584" t="str">
        <f t="shared" si="9"/>
        <v>rokprognozy=2039 i lp=380</v>
      </c>
      <c r="AF47" s="584" t="str">
        <f t="shared" si="9"/>
        <v>rokprognozy=2040 i lp=380</v>
      </c>
      <c r="AG47" s="584" t="str">
        <f t="shared" si="9"/>
        <v>rokprognozy=2041 i lp=380</v>
      </c>
      <c r="AH47" s="584" t="str">
        <f t="shared" si="10"/>
        <v>rokprognozy=2042 i lp=380</v>
      </c>
    </row>
    <row r="48" spans="1:34" ht="12.75">
      <c r="A48" s="583">
        <v>390</v>
      </c>
      <c r="B48" s="583">
        <v>6.3</v>
      </c>
      <c r="C48" s="584" t="s">
        <v>413</v>
      </c>
      <c r="D48" s="584" t="str">
        <f t="shared" si="3"/>
        <v>rokprognozy=2013 i lp=390</v>
      </c>
      <c r="E48" s="584" t="str">
        <f t="shared" si="4"/>
        <v>rokprognozy=2013 i lp=390</v>
      </c>
      <c r="F48" s="584" t="str">
        <f t="shared" si="4"/>
        <v>rokprognozy=2014 i lp=390</v>
      </c>
      <c r="G48" s="584" t="str">
        <f t="shared" si="4"/>
        <v>rokprognozy=2015 i lp=390</v>
      </c>
      <c r="H48" s="584" t="str">
        <f t="shared" si="4"/>
        <v>rokprognozy=2016 i lp=390</v>
      </c>
      <c r="I48" s="584" t="str">
        <f t="shared" si="4"/>
        <v>rokprognozy=2017 i lp=390</v>
      </c>
      <c r="J48" s="584" t="str">
        <f t="shared" si="4"/>
        <v>rokprognozy=2018 i lp=390</v>
      </c>
      <c r="K48" s="584" t="str">
        <f t="shared" si="4"/>
        <v>rokprognozy=2019 i lp=390</v>
      </c>
      <c r="L48" s="584" t="str">
        <f t="shared" si="4"/>
        <v>rokprognozy=2020 i lp=390</v>
      </c>
      <c r="M48" s="584" t="str">
        <f t="shared" si="4"/>
        <v>rokprognozy=2021 i lp=390</v>
      </c>
      <c r="N48" s="584" t="str">
        <f t="shared" si="8"/>
        <v>rokprognozy=2022 i lp=390</v>
      </c>
      <c r="O48" s="584" t="str">
        <f t="shared" si="8"/>
        <v>rokprognozy=2023 i lp=390</v>
      </c>
      <c r="P48" s="584" t="str">
        <f t="shared" si="8"/>
        <v>rokprognozy=2024 i lp=390</v>
      </c>
      <c r="Q48" s="584" t="str">
        <f t="shared" si="8"/>
        <v>rokprognozy=2025 i lp=390</v>
      </c>
      <c r="R48" s="584" t="str">
        <f t="shared" si="8"/>
        <v>rokprognozy=2026 i lp=390</v>
      </c>
      <c r="S48" s="584" t="str">
        <f t="shared" si="8"/>
        <v>rokprognozy=2027 i lp=390</v>
      </c>
      <c r="T48" s="584" t="str">
        <f t="shared" si="8"/>
        <v>rokprognozy=2028 i lp=390</v>
      </c>
      <c r="U48" s="584" t="str">
        <f t="shared" si="8"/>
        <v>rokprognozy=2029 i lp=390</v>
      </c>
      <c r="V48" s="584" t="str">
        <f t="shared" si="8"/>
        <v>rokprognozy=2030 i lp=390</v>
      </c>
      <c r="W48" s="584" t="str">
        <f t="shared" si="8"/>
        <v>rokprognozy=2031 i lp=390</v>
      </c>
      <c r="X48" s="584" t="str">
        <f t="shared" si="8"/>
        <v>rokprognozy=2032 i lp=390</v>
      </c>
      <c r="Y48" s="584" t="str">
        <f t="shared" si="8"/>
        <v>rokprognozy=2033 i lp=390</v>
      </c>
      <c r="Z48" s="584" t="str">
        <f t="shared" si="8"/>
        <v>rokprognozy=2034 i lp=390</v>
      </c>
      <c r="AA48" s="584" t="str">
        <f t="shared" si="8"/>
        <v>rokprognozy=2035 i lp=390</v>
      </c>
      <c r="AB48" s="584" t="str">
        <f t="shared" si="8"/>
        <v>rokprognozy=2036 i lp=390</v>
      </c>
      <c r="AC48" s="584" t="str">
        <f t="shared" si="8"/>
        <v>rokprognozy=2037 i lp=390</v>
      </c>
      <c r="AD48" s="584" t="str">
        <f t="shared" si="9"/>
        <v>rokprognozy=2038 i lp=390</v>
      </c>
      <c r="AE48" s="584" t="str">
        <f t="shared" si="9"/>
        <v>rokprognozy=2039 i lp=390</v>
      </c>
      <c r="AF48" s="584" t="str">
        <f t="shared" si="9"/>
        <v>rokprognozy=2040 i lp=390</v>
      </c>
      <c r="AG48" s="584" t="str">
        <f t="shared" si="9"/>
        <v>rokprognozy=2041 i lp=390</v>
      </c>
      <c r="AH48" s="584" t="str">
        <f t="shared" si="10"/>
        <v>rokprognozy=2042 i lp=390</v>
      </c>
    </row>
    <row r="49" spans="1:34" ht="12.75">
      <c r="A49" s="583">
        <v>400</v>
      </c>
      <c r="B49" s="583">
        <v>7</v>
      </c>
      <c r="C49" s="584" t="s">
        <v>414</v>
      </c>
      <c r="D49" s="584" t="str">
        <f t="shared" si="3"/>
        <v>rokprognozy=2013 i lp=400</v>
      </c>
      <c r="E49" s="584" t="str">
        <f t="shared" si="4"/>
        <v>rokprognozy=2013 i lp=400</v>
      </c>
      <c r="F49" s="584" t="str">
        <f t="shared" si="4"/>
        <v>rokprognozy=2014 i lp=400</v>
      </c>
      <c r="G49" s="584" t="str">
        <f t="shared" si="4"/>
        <v>rokprognozy=2015 i lp=400</v>
      </c>
      <c r="H49" s="584" t="str">
        <f t="shared" si="4"/>
        <v>rokprognozy=2016 i lp=400</v>
      </c>
      <c r="I49" s="584" t="str">
        <f t="shared" si="4"/>
        <v>rokprognozy=2017 i lp=400</v>
      </c>
      <c r="J49" s="584" t="str">
        <f t="shared" si="4"/>
        <v>rokprognozy=2018 i lp=400</v>
      </c>
      <c r="K49" s="584" t="str">
        <f t="shared" si="4"/>
        <v>rokprognozy=2019 i lp=400</v>
      </c>
      <c r="L49" s="584" t="str">
        <f t="shared" si="4"/>
        <v>rokprognozy=2020 i lp=400</v>
      </c>
      <c r="M49" s="584" t="str">
        <f t="shared" si="4"/>
        <v>rokprognozy=2021 i lp=400</v>
      </c>
      <c r="N49" s="584" t="str">
        <f t="shared" si="8"/>
        <v>rokprognozy=2022 i lp=400</v>
      </c>
      <c r="O49" s="584" t="str">
        <f t="shared" si="8"/>
        <v>rokprognozy=2023 i lp=400</v>
      </c>
      <c r="P49" s="584" t="str">
        <f t="shared" si="8"/>
        <v>rokprognozy=2024 i lp=400</v>
      </c>
      <c r="Q49" s="584" t="str">
        <f t="shared" si="8"/>
        <v>rokprognozy=2025 i lp=400</v>
      </c>
      <c r="R49" s="584" t="str">
        <f t="shared" si="8"/>
        <v>rokprognozy=2026 i lp=400</v>
      </c>
      <c r="S49" s="584" t="str">
        <f t="shared" si="8"/>
        <v>rokprognozy=2027 i lp=400</v>
      </c>
      <c r="T49" s="584" t="str">
        <f t="shared" si="8"/>
        <v>rokprognozy=2028 i lp=400</v>
      </c>
      <c r="U49" s="584" t="str">
        <f t="shared" si="8"/>
        <v>rokprognozy=2029 i lp=400</v>
      </c>
      <c r="V49" s="584" t="str">
        <f t="shared" si="8"/>
        <v>rokprognozy=2030 i lp=400</v>
      </c>
      <c r="W49" s="584" t="str">
        <f t="shared" si="8"/>
        <v>rokprognozy=2031 i lp=400</v>
      </c>
      <c r="X49" s="584" t="str">
        <f t="shared" si="8"/>
        <v>rokprognozy=2032 i lp=400</v>
      </c>
      <c r="Y49" s="584" t="str">
        <f t="shared" si="8"/>
        <v>rokprognozy=2033 i lp=400</v>
      </c>
      <c r="Z49" s="584" t="str">
        <f t="shared" si="8"/>
        <v>rokprognozy=2034 i lp=400</v>
      </c>
      <c r="AA49" s="584" t="str">
        <f t="shared" si="8"/>
        <v>rokprognozy=2035 i lp=400</v>
      </c>
      <c r="AB49" s="584" t="str">
        <f t="shared" si="8"/>
        <v>rokprognozy=2036 i lp=400</v>
      </c>
      <c r="AC49" s="584" t="str">
        <f t="shared" si="8"/>
        <v>rokprognozy=2037 i lp=400</v>
      </c>
      <c r="AD49" s="584" t="str">
        <f t="shared" si="9"/>
        <v>rokprognozy=2038 i lp=400</v>
      </c>
      <c r="AE49" s="584" t="str">
        <f t="shared" si="9"/>
        <v>rokprognozy=2039 i lp=400</v>
      </c>
      <c r="AF49" s="584" t="str">
        <f t="shared" si="9"/>
        <v>rokprognozy=2040 i lp=400</v>
      </c>
      <c r="AG49" s="584" t="str">
        <f t="shared" si="9"/>
        <v>rokprognozy=2041 i lp=400</v>
      </c>
      <c r="AH49" s="584" t="str">
        <f t="shared" si="10"/>
        <v>rokprognozy=2042 i lp=400</v>
      </c>
    </row>
    <row r="50" spans="1:34" ht="12.75">
      <c r="A50" s="583">
        <v>410</v>
      </c>
      <c r="D50" s="584" t="str">
        <f t="shared" si="3"/>
        <v>rokprognozy=2013 i lp=410</v>
      </c>
      <c r="E50" s="584" t="str">
        <f t="shared" si="4"/>
        <v>rokprognozy=2013 i lp=410</v>
      </c>
      <c r="F50" s="584" t="str">
        <f t="shared" si="4"/>
        <v>rokprognozy=2014 i lp=410</v>
      </c>
      <c r="G50" s="584" t="str">
        <f t="shared" si="4"/>
        <v>rokprognozy=2015 i lp=410</v>
      </c>
      <c r="H50" s="584" t="str">
        <f t="shared" si="4"/>
        <v>rokprognozy=2016 i lp=410</v>
      </c>
      <c r="I50" s="584" t="str">
        <f t="shared" si="4"/>
        <v>rokprognozy=2017 i lp=410</v>
      </c>
      <c r="J50" s="584" t="str">
        <f t="shared" si="4"/>
        <v>rokprognozy=2018 i lp=410</v>
      </c>
      <c r="K50" s="584" t="str">
        <f t="shared" si="4"/>
        <v>rokprognozy=2019 i lp=410</v>
      </c>
      <c r="L50" s="584" t="str">
        <f t="shared" si="4"/>
        <v>rokprognozy=2020 i lp=410</v>
      </c>
      <c r="M50" s="584" t="str">
        <f t="shared" si="4"/>
        <v>rokprognozy=2021 i lp=410</v>
      </c>
      <c r="N50" s="584" t="str">
        <f t="shared" si="8"/>
        <v>rokprognozy=2022 i lp=410</v>
      </c>
      <c r="O50" s="584" t="str">
        <f t="shared" si="8"/>
        <v>rokprognozy=2023 i lp=410</v>
      </c>
      <c r="P50" s="584" t="str">
        <f t="shared" si="8"/>
        <v>rokprognozy=2024 i lp=410</v>
      </c>
      <c r="Q50" s="584" t="str">
        <f t="shared" si="8"/>
        <v>rokprognozy=2025 i lp=410</v>
      </c>
      <c r="R50" s="584" t="str">
        <f t="shared" si="8"/>
        <v>rokprognozy=2026 i lp=410</v>
      </c>
      <c r="S50" s="584" t="str">
        <f t="shared" si="8"/>
        <v>rokprognozy=2027 i lp=410</v>
      </c>
      <c r="T50" s="584" t="str">
        <f t="shared" si="8"/>
        <v>rokprognozy=2028 i lp=410</v>
      </c>
      <c r="U50" s="584" t="str">
        <f t="shared" si="8"/>
        <v>rokprognozy=2029 i lp=410</v>
      </c>
      <c r="V50" s="584" t="str">
        <f t="shared" si="8"/>
        <v>rokprognozy=2030 i lp=410</v>
      </c>
      <c r="W50" s="584" t="str">
        <f t="shared" si="8"/>
        <v>rokprognozy=2031 i lp=410</v>
      </c>
      <c r="X50" s="584" t="str">
        <f t="shared" si="8"/>
        <v>rokprognozy=2032 i lp=410</v>
      </c>
      <c r="Y50" s="584" t="str">
        <f t="shared" si="8"/>
        <v>rokprognozy=2033 i lp=410</v>
      </c>
      <c r="Z50" s="584" t="str">
        <f t="shared" si="8"/>
        <v>rokprognozy=2034 i lp=410</v>
      </c>
      <c r="AA50" s="584" t="str">
        <f t="shared" si="8"/>
        <v>rokprognozy=2035 i lp=410</v>
      </c>
      <c r="AB50" s="584" t="str">
        <f t="shared" si="8"/>
        <v>rokprognozy=2036 i lp=410</v>
      </c>
      <c r="AC50" s="584" t="str">
        <f t="shared" si="8"/>
        <v>rokprognozy=2037 i lp=410</v>
      </c>
      <c r="AD50" s="584" t="str">
        <f t="shared" si="9"/>
        <v>rokprognozy=2038 i lp=410</v>
      </c>
      <c r="AE50" s="584" t="str">
        <f t="shared" si="9"/>
        <v>rokprognozy=2039 i lp=410</v>
      </c>
      <c r="AF50" s="584" t="str">
        <f t="shared" si="9"/>
        <v>rokprognozy=2040 i lp=410</v>
      </c>
      <c r="AG50" s="584" t="str">
        <f t="shared" si="9"/>
        <v>rokprognozy=2041 i lp=410</v>
      </c>
      <c r="AH50" s="584" t="str">
        <f t="shared" si="10"/>
        <v>rokprognozy=2042 i lp=410</v>
      </c>
    </row>
    <row r="51" spans="1:34" ht="12.75">
      <c r="A51" s="583">
        <v>420</v>
      </c>
      <c r="B51" s="583">
        <v>8.1</v>
      </c>
      <c r="C51" s="584" t="s">
        <v>415</v>
      </c>
      <c r="D51" s="584" t="str">
        <f t="shared" si="3"/>
        <v>rokprognozy=2013 i lp=420</v>
      </c>
      <c r="E51" s="584" t="str">
        <f t="shared" si="4"/>
        <v>rokprognozy=2013 i lp=420</v>
      </c>
      <c r="F51" s="584" t="str">
        <f t="shared" si="4"/>
        <v>rokprognozy=2014 i lp=420</v>
      </c>
      <c r="G51" s="584" t="str">
        <f t="shared" si="4"/>
        <v>rokprognozy=2015 i lp=420</v>
      </c>
      <c r="H51" s="584" t="str">
        <f t="shared" si="4"/>
        <v>rokprognozy=2016 i lp=420</v>
      </c>
      <c r="I51" s="584" t="str">
        <f t="shared" si="4"/>
        <v>rokprognozy=2017 i lp=420</v>
      </c>
      <c r="J51" s="584" t="str">
        <f t="shared" si="4"/>
        <v>rokprognozy=2018 i lp=420</v>
      </c>
      <c r="K51" s="584" t="str">
        <f t="shared" si="4"/>
        <v>rokprognozy=2019 i lp=420</v>
      </c>
      <c r="L51" s="584" t="str">
        <f t="shared" si="4"/>
        <v>rokprognozy=2020 i lp=420</v>
      </c>
      <c r="M51" s="584" t="str">
        <f t="shared" si="4"/>
        <v>rokprognozy=2021 i lp=420</v>
      </c>
      <c r="N51" s="584" t="str">
        <f t="shared" si="8"/>
        <v>rokprognozy=2022 i lp=420</v>
      </c>
      <c r="O51" s="584" t="str">
        <f t="shared" si="8"/>
        <v>rokprognozy=2023 i lp=420</v>
      </c>
      <c r="P51" s="584" t="str">
        <f t="shared" si="8"/>
        <v>rokprognozy=2024 i lp=420</v>
      </c>
      <c r="Q51" s="584" t="str">
        <f t="shared" si="8"/>
        <v>rokprognozy=2025 i lp=420</v>
      </c>
      <c r="R51" s="584" t="str">
        <f t="shared" si="8"/>
        <v>rokprognozy=2026 i lp=420</v>
      </c>
      <c r="S51" s="584" t="str">
        <f t="shared" si="8"/>
        <v>rokprognozy=2027 i lp=420</v>
      </c>
      <c r="T51" s="584" t="str">
        <f t="shared" si="8"/>
        <v>rokprognozy=2028 i lp=420</v>
      </c>
      <c r="U51" s="584" t="str">
        <f t="shared" si="8"/>
        <v>rokprognozy=2029 i lp=420</v>
      </c>
      <c r="V51" s="584" t="str">
        <f t="shared" si="8"/>
        <v>rokprognozy=2030 i lp=420</v>
      </c>
      <c r="W51" s="584" t="str">
        <f t="shared" si="8"/>
        <v>rokprognozy=2031 i lp=420</v>
      </c>
      <c r="X51" s="584" t="str">
        <f t="shared" si="8"/>
        <v>rokprognozy=2032 i lp=420</v>
      </c>
      <c r="Y51" s="584" t="str">
        <f t="shared" si="8"/>
        <v>rokprognozy=2033 i lp=420</v>
      </c>
      <c r="Z51" s="584" t="str">
        <f t="shared" si="8"/>
        <v>rokprognozy=2034 i lp=420</v>
      </c>
      <c r="AA51" s="584" t="str">
        <f t="shared" si="8"/>
        <v>rokprognozy=2035 i lp=420</v>
      </c>
      <c r="AB51" s="584" t="str">
        <f t="shared" si="8"/>
        <v>rokprognozy=2036 i lp=420</v>
      </c>
      <c r="AC51" s="584" t="str">
        <f t="shared" si="8"/>
        <v>rokprognozy=2037 i lp=420</v>
      </c>
      <c r="AD51" s="584" t="str">
        <f t="shared" si="9"/>
        <v>rokprognozy=2038 i lp=420</v>
      </c>
      <c r="AE51" s="584" t="str">
        <f t="shared" si="9"/>
        <v>rokprognozy=2039 i lp=420</v>
      </c>
      <c r="AF51" s="584" t="str">
        <f t="shared" si="9"/>
        <v>rokprognozy=2040 i lp=420</v>
      </c>
      <c r="AG51" s="584" t="str">
        <f t="shared" si="9"/>
        <v>rokprognozy=2041 i lp=420</v>
      </c>
      <c r="AH51" s="584" t="str">
        <f t="shared" si="10"/>
        <v>rokprognozy=2042 i lp=420</v>
      </c>
    </row>
    <row r="52" spans="1:34" ht="12.75">
      <c r="A52" s="583">
        <v>430</v>
      </c>
      <c r="B52" s="583">
        <v>8.2</v>
      </c>
      <c r="C52" s="584" t="s">
        <v>416</v>
      </c>
      <c r="D52" s="584" t="str">
        <f t="shared" si="3"/>
        <v>rokprognozy=2013 i lp=430</v>
      </c>
      <c r="E52" s="584" t="str">
        <f aca="true" t="shared" si="11" ref="E52:S68">+"rokprognozy="&amp;E$9&amp;" i lp="&amp;$A52</f>
        <v>rokprognozy=2013 i lp=430</v>
      </c>
      <c r="F52" s="584" t="str">
        <f t="shared" si="11"/>
        <v>rokprognozy=2014 i lp=430</v>
      </c>
      <c r="G52" s="584" t="str">
        <f t="shared" si="11"/>
        <v>rokprognozy=2015 i lp=430</v>
      </c>
      <c r="H52" s="584" t="str">
        <f t="shared" si="11"/>
        <v>rokprognozy=2016 i lp=430</v>
      </c>
      <c r="I52" s="584" t="str">
        <f t="shared" si="11"/>
        <v>rokprognozy=2017 i lp=430</v>
      </c>
      <c r="J52" s="584" t="str">
        <f t="shared" si="11"/>
        <v>rokprognozy=2018 i lp=430</v>
      </c>
      <c r="K52" s="584" t="str">
        <f t="shared" si="11"/>
        <v>rokprognozy=2019 i lp=430</v>
      </c>
      <c r="L52" s="584" t="str">
        <f t="shared" si="11"/>
        <v>rokprognozy=2020 i lp=430</v>
      </c>
      <c r="M52" s="584" t="str">
        <f t="shared" si="11"/>
        <v>rokprognozy=2021 i lp=430</v>
      </c>
      <c r="N52" s="584" t="str">
        <f t="shared" si="8"/>
        <v>rokprognozy=2022 i lp=430</v>
      </c>
      <c r="O52" s="584" t="str">
        <f t="shared" si="8"/>
        <v>rokprognozy=2023 i lp=430</v>
      </c>
      <c r="P52" s="584" t="str">
        <f t="shared" si="8"/>
        <v>rokprognozy=2024 i lp=430</v>
      </c>
      <c r="Q52" s="584" t="str">
        <f t="shared" si="8"/>
        <v>rokprognozy=2025 i lp=430</v>
      </c>
      <c r="R52" s="584" t="str">
        <f t="shared" si="8"/>
        <v>rokprognozy=2026 i lp=430</v>
      </c>
      <c r="S52" s="584" t="str">
        <f t="shared" si="8"/>
        <v>rokprognozy=2027 i lp=430</v>
      </c>
      <c r="T52" s="584" t="str">
        <f t="shared" si="8"/>
        <v>rokprognozy=2028 i lp=430</v>
      </c>
      <c r="U52" s="584" t="str">
        <f t="shared" si="8"/>
        <v>rokprognozy=2029 i lp=430</v>
      </c>
      <c r="V52" s="584" t="str">
        <f t="shared" si="8"/>
        <v>rokprognozy=2030 i lp=430</v>
      </c>
      <c r="W52" s="584" t="str">
        <f t="shared" si="8"/>
        <v>rokprognozy=2031 i lp=430</v>
      </c>
      <c r="X52" s="584" t="str">
        <f t="shared" si="8"/>
        <v>rokprognozy=2032 i lp=430</v>
      </c>
      <c r="Y52" s="584" t="str">
        <f t="shared" si="8"/>
        <v>rokprognozy=2033 i lp=430</v>
      </c>
      <c r="Z52" s="584" t="str">
        <f t="shared" si="8"/>
        <v>rokprognozy=2034 i lp=430</v>
      </c>
      <c r="AA52" s="584" t="str">
        <f t="shared" si="8"/>
        <v>rokprognozy=2035 i lp=430</v>
      </c>
      <c r="AB52" s="584" t="str">
        <f t="shared" si="8"/>
        <v>rokprognozy=2036 i lp=430</v>
      </c>
      <c r="AC52" s="584" t="str">
        <f t="shared" si="8"/>
        <v>rokprognozy=2037 i lp=430</v>
      </c>
      <c r="AD52" s="584" t="str">
        <f t="shared" si="9"/>
        <v>rokprognozy=2038 i lp=430</v>
      </c>
      <c r="AE52" s="584" t="str">
        <f t="shared" si="9"/>
        <v>rokprognozy=2039 i lp=430</v>
      </c>
      <c r="AF52" s="584" t="str">
        <f t="shared" si="9"/>
        <v>rokprognozy=2040 i lp=430</v>
      </c>
      <c r="AG52" s="584" t="str">
        <f t="shared" si="9"/>
        <v>rokprognozy=2041 i lp=430</v>
      </c>
      <c r="AH52" s="584" t="str">
        <f t="shared" si="10"/>
        <v>rokprognozy=2042 i lp=430</v>
      </c>
    </row>
    <row r="53" spans="1:34" ht="12.75">
      <c r="A53" s="583">
        <v>440</v>
      </c>
      <c r="D53" s="584" t="str">
        <f t="shared" si="3"/>
        <v>rokprognozy=2013 i lp=440</v>
      </c>
      <c r="E53" s="584" t="str">
        <f t="shared" si="11"/>
        <v>rokprognozy=2013 i lp=440</v>
      </c>
      <c r="F53" s="584" t="str">
        <f t="shared" si="11"/>
        <v>rokprognozy=2014 i lp=440</v>
      </c>
      <c r="G53" s="584" t="str">
        <f t="shared" si="11"/>
        <v>rokprognozy=2015 i lp=440</v>
      </c>
      <c r="H53" s="584" t="str">
        <f t="shared" si="11"/>
        <v>rokprognozy=2016 i lp=440</v>
      </c>
      <c r="I53" s="584" t="str">
        <f t="shared" si="11"/>
        <v>rokprognozy=2017 i lp=440</v>
      </c>
      <c r="J53" s="584" t="str">
        <f t="shared" si="11"/>
        <v>rokprognozy=2018 i lp=440</v>
      </c>
      <c r="K53" s="584" t="str">
        <f t="shared" si="11"/>
        <v>rokprognozy=2019 i lp=440</v>
      </c>
      <c r="L53" s="584" t="str">
        <f t="shared" si="11"/>
        <v>rokprognozy=2020 i lp=440</v>
      </c>
      <c r="M53" s="584" t="str">
        <f t="shared" si="11"/>
        <v>rokprognozy=2021 i lp=440</v>
      </c>
      <c r="N53" s="584" t="str">
        <f t="shared" si="8"/>
        <v>rokprognozy=2022 i lp=440</v>
      </c>
      <c r="O53" s="584" t="str">
        <f t="shared" si="8"/>
        <v>rokprognozy=2023 i lp=440</v>
      </c>
      <c r="P53" s="584" t="str">
        <f t="shared" si="8"/>
        <v>rokprognozy=2024 i lp=440</v>
      </c>
      <c r="Q53" s="584" t="str">
        <f t="shared" si="8"/>
        <v>rokprognozy=2025 i lp=440</v>
      </c>
      <c r="R53" s="584" t="str">
        <f t="shared" si="8"/>
        <v>rokprognozy=2026 i lp=440</v>
      </c>
      <c r="S53" s="584" t="str">
        <f t="shared" si="8"/>
        <v>rokprognozy=2027 i lp=440</v>
      </c>
      <c r="T53" s="584" t="str">
        <f t="shared" si="8"/>
        <v>rokprognozy=2028 i lp=440</v>
      </c>
      <c r="U53" s="584" t="str">
        <f t="shared" si="8"/>
        <v>rokprognozy=2029 i lp=440</v>
      </c>
      <c r="V53" s="584" t="str">
        <f t="shared" si="8"/>
        <v>rokprognozy=2030 i lp=440</v>
      </c>
      <c r="W53" s="584" t="str">
        <f t="shared" si="8"/>
        <v>rokprognozy=2031 i lp=440</v>
      </c>
      <c r="X53" s="584" t="str">
        <f t="shared" si="8"/>
        <v>rokprognozy=2032 i lp=440</v>
      </c>
      <c r="Y53" s="584" t="str">
        <f t="shared" si="8"/>
        <v>rokprognozy=2033 i lp=440</v>
      </c>
      <c r="Z53" s="584" t="str">
        <f t="shared" si="8"/>
        <v>rokprognozy=2034 i lp=440</v>
      </c>
      <c r="AA53" s="584" t="str">
        <f t="shared" si="8"/>
        <v>rokprognozy=2035 i lp=440</v>
      </c>
      <c r="AB53" s="584" t="str">
        <f t="shared" si="8"/>
        <v>rokprognozy=2036 i lp=440</v>
      </c>
      <c r="AC53" s="584" t="str">
        <f t="shared" si="8"/>
        <v>rokprognozy=2037 i lp=440</v>
      </c>
      <c r="AD53" s="584" t="str">
        <f t="shared" si="9"/>
        <v>rokprognozy=2038 i lp=440</v>
      </c>
      <c r="AE53" s="584" t="str">
        <f t="shared" si="9"/>
        <v>rokprognozy=2039 i lp=440</v>
      </c>
      <c r="AF53" s="584" t="str">
        <f t="shared" si="9"/>
        <v>rokprognozy=2040 i lp=440</v>
      </c>
      <c r="AG53" s="584" t="str">
        <f t="shared" si="9"/>
        <v>rokprognozy=2041 i lp=440</v>
      </c>
      <c r="AH53" s="584" t="str">
        <f t="shared" si="10"/>
        <v>rokprognozy=2042 i lp=440</v>
      </c>
    </row>
    <row r="54" spans="1:34" ht="12.75">
      <c r="A54" s="583">
        <v>450</v>
      </c>
      <c r="B54" s="583">
        <v>9.1</v>
      </c>
      <c r="C54" s="584" t="s">
        <v>417</v>
      </c>
      <c r="D54" s="584" t="str">
        <f t="shared" si="3"/>
        <v>rokprognozy=2013 i lp=450</v>
      </c>
      <c r="E54" s="584" t="str">
        <f t="shared" si="11"/>
        <v>rokprognozy=2013 i lp=450</v>
      </c>
      <c r="F54" s="584" t="str">
        <f t="shared" si="11"/>
        <v>rokprognozy=2014 i lp=450</v>
      </c>
      <c r="G54" s="584" t="str">
        <f t="shared" si="11"/>
        <v>rokprognozy=2015 i lp=450</v>
      </c>
      <c r="H54" s="584" t="str">
        <f t="shared" si="11"/>
        <v>rokprognozy=2016 i lp=450</v>
      </c>
      <c r="I54" s="584" t="str">
        <f t="shared" si="11"/>
        <v>rokprognozy=2017 i lp=450</v>
      </c>
      <c r="J54" s="584" t="str">
        <f t="shared" si="11"/>
        <v>rokprognozy=2018 i lp=450</v>
      </c>
      <c r="K54" s="584" t="str">
        <f t="shared" si="11"/>
        <v>rokprognozy=2019 i lp=450</v>
      </c>
      <c r="L54" s="584" t="str">
        <f t="shared" si="11"/>
        <v>rokprognozy=2020 i lp=450</v>
      </c>
      <c r="M54" s="584" t="str">
        <f t="shared" si="11"/>
        <v>rokprognozy=2021 i lp=450</v>
      </c>
      <c r="N54" s="584" t="str">
        <f t="shared" si="8"/>
        <v>rokprognozy=2022 i lp=450</v>
      </c>
      <c r="O54" s="584" t="str">
        <f t="shared" si="8"/>
        <v>rokprognozy=2023 i lp=450</v>
      </c>
      <c r="P54" s="584" t="str">
        <f t="shared" si="8"/>
        <v>rokprognozy=2024 i lp=450</v>
      </c>
      <c r="Q54" s="584" t="str">
        <f t="shared" si="8"/>
        <v>rokprognozy=2025 i lp=450</v>
      </c>
      <c r="R54" s="584" t="str">
        <f t="shared" si="8"/>
        <v>rokprognozy=2026 i lp=450</v>
      </c>
      <c r="S54" s="584" t="str">
        <f t="shared" si="8"/>
        <v>rokprognozy=2027 i lp=450</v>
      </c>
      <c r="T54" s="584" t="str">
        <f t="shared" si="8"/>
        <v>rokprognozy=2028 i lp=450</v>
      </c>
      <c r="U54" s="584" t="str">
        <f t="shared" si="8"/>
        <v>rokprognozy=2029 i lp=450</v>
      </c>
      <c r="V54" s="584" t="str">
        <f t="shared" si="8"/>
        <v>rokprognozy=2030 i lp=450</v>
      </c>
      <c r="W54" s="584" t="str">
        <f t="shared" si="8"/>
        <v>rokprognozy=2031 i lp=450</v>
      </c>
      <c r="X54" s="584" t="str">
        <f t="shared" si="8"/>
        <v>rokprognozy=2032 i lp=450</v>
      </c>
      <c r="Y54" s="584" t="str">
        <f t="shared" si="8"/>
        <v>rokprognozy=2033 i lp=450</v>
      </c>
      <c r="Z54" s="584" t="str">
        <f t="shared" si="8"/>
        <v>rokprognozy=2034 i lp=450</v>
      </c>
      <c r="AA54" s="584" t="str">
        <f t="shared" si="8"/>
        <v>rokprognozy=2035 i lp=450</v>
      </c>
      <c r="AB54" s="584" t="str">
        <f t="shared" si="8"/>
        <v>rokprognozy=2036 i lp=450</v>
      </c>
      <c r="AC54" s="584" t="str">
        <f t="shared" si="8"/>
        <v>rokprognozy=2037 i lp=450</v>
      </c>
      <c r="AD54" s="584" t="str">
        <f t="shared" si="9"/>
        <v>rokprognozy=2038 i lp=450</v>
      </c>
      <c r="AE54" s="584" t="str">
        <f t="shared" si="9"/>
        <v>rokprognozy=2039 i lp=450</v>
      </c>
      <c r="AF54" s="584" t="str">
        <f t="shared" si="9"/>
        <v>rokprognozy=2040 i lp=450</v>
      </c>
      <c r="AG54" s="584" t="str">
        <f t="shared" si="9"/>
        <v>rokprognozy=2041 i lp=450</v>
      </c>
      <c r="AH54" s="584" t="str">
        <f t="shared" si="10"/>
        <v>rokprognozy=2042 i lp=450</v>
      </c>
    </row>
    <row r="55" spans="1:34" ht="12.75">
      <c r="A55" s="583">
        <v>460</v>
      </c>
      <c r="B55" s="583">
        <v>9.2</v>
      </c>
      <c r="C55" s="584" t="s">
        <v>418</v>
      </c>
      <c r="D55" s="584" t="str">
        <f t="shared" si="3"/>
        <v>rokprognozy=2013 i lp=460</v>
      </c>
      <c r="E55" s="584" t="str">
        <f t="shared" si="11"/>
        <v>rokprognozy=2013 i lp=460</v>
      </c>
      <c r="F55" s="584" t="str">
        <f t="shared" si="11"/>
        <v>rokprognozy=2014 i lp=460</v>
      </c>
      <c r="G55" s="584" t="str">
        <f t="shared" si="11"/>
        <v>rokprognozy=2015 i lp=460</v>
      </c>
      <c r="H55" s="584" t="str">
        <f t="shared" si="11"/>
        <v>rokprognozy=2016 i lp=460</v>
      </c>
      <c r="I55" s="584" t="str">
        <f t="shared" si="11"/>
        <v>rokprognozy=2017 i lp=460</v>
      </c>
      <c r="J55" s="584" t="str">
        <f t="shared" si="11"/>
        <v>rokprognozy=2018 i lp=460</v>
      </c>
      <c r="K55" s="584" t="str">
        <f t="shared" si="11"/>
        <v>rokprognozy=2019 i lp=460</v>
      </c>
      <c r="L55" s="584" t="str">
        <f t="shared" si="11"/>
        <v>rokprognozy=2020 i lp=460</v>
      </c>
      <c r="M55" s="584" t="str">
        <f t="shared" si="11"/>
        <v>rokprognozy=2021 i lp=460</v>
      </c>
      <c r="N55" s="584" t="str">
        <f t="shared" si="8"/>
        <v>rokprognozy=2022 i lp=460</v>
      </c>
      <c r="O55" s="584" t="str">
        <f t="shared" si="8"/>
        <v>rokprognozy=2023 i lp=460</v>
      </c>
      <c r="P55" s="584" t="str">
        <f t="shared" si="8"/>
        <v>rokprognozy=2024 i lp=460</v>
      </c>
      <c r="Q55" s="584" t="str">
        <f t="shared" si="8"/>
        <v>rokprognozy=2025 i lp=460</v>
      </c>
      <c r="R55" s="584" t="str">
        <f t="shared" si="8"/>
        <v>rokprognozy=2026 i lp=460</v>
      </c>
      <c r="S55" s="584" t="str">
        <f t="shared" si="8"/>
        <v>rokprognozy=2027 i lp=460</v>
      </c>
      <c r="T55" s="584" t="str">
        <f t="shared" si="8"/>
        <v>rokprognozy=2028 i lp=460</v>
      </c>
      <c r="U55" s="584" t="str">
        <f t="shared" si="8"/>
        <v>rokprognozy=2029 i lp=460</v>
      </c>
      <c r="V55" s="584" t="str">
        <f t="shared" si="8"/>
        <v>rokprognozy=2030 i lp=460</v>
      </c>
      <c r="W55" s="584" t="str">
        <f t="shared" si="8"/>
        <v>rokprognozy=2031 i lp=460</v>
      </c>
      <c r="X55" s="584" t="str">
        <f t="shared" si="8"/>
        <v>rokprognozy=2032 i lp=460</v>
      </c>
      <c r="Y55" s="584" t="str">
        <f t="shared" si="8"/>
        <v>rokprognozy=2033 i lp=460</v>
      </c>
      <c r="Z55" s="584" t="str">
        <f t="shared" si="8"/>
        <v>rokprognozy=2034 i lp=460</v>
      </c>
      <c r="AA55" s="584" t="str">
        <f t="shared" si="8"/>
        <v>rokprognozy=2035 i lp=460</v>
      </c>
      <c r="AB55" s="584" t="str">
        <f t="shared" si="8"/>
        <v>rokprognozy=2036 i lp=460</v>
      </c>
      <c r="AC55" s="584" t="str">
        <f t="shared" si="8"/>
        <v>rokprognozy=2037 i lp=460</v>
      </c>
      <c r="AD55" s="584" t="str">
        <f t="shared" si="9"/>
        <v>rokprognozy=2038 i lp=460</v>
      </c>
      <c r="AE55" s="584" t="str">
        <f t="shared" si="9"/>
        <v>rokprognozy=2039 i lp=460</v>
      </c>
      <c r="AF55" s="584" t="str">
        <f t="shared" si="9"/>
        <v>rokprognozy=2040 i lp=460</v>
      </c>
      <c r="AG55" s="584" t="str">
        <f t="shared" si="9"/>
        <v>rokprognozy=2041 i lp=460</v>
      </c>
      <c r="AH55" s="584" t="str">
        <f t="shared" si="10"/>
        <v>rokprognozy=2042 i lp=460</v>
      </c>
    </row>
    <row r="56" spans="1:34" ht="12.75">
      <c r="A56" s="583">
        <v>470</v>
      </c>
      <c r="B56" s="583">
        <v>9.3</v>
      </c>
      <c r="C56" s="584" t="s">
        <v>91</v>
      </c>
      <c r="D56" s="584" t="str">
        <f t="shared" si="3"/>
        <v>rokprognozy=2013 i lp=470</v>
      </c>
      <c r="E56" s="584" t="str">
        <f t="shared" si="11"/>
        <v>rokprognozy=2013 i lp=470</v>
      </c>
      <c r="F56" s="584" t="str">
        <f t="shared" si="11"/>
        <v>rokprognozy=2014 i lp=470</v>
      </c>
      <c r="G56" s="584" t="str">
        <f t="shared" si="11"/>
        <v>rokprognozy=2015 i lp=470</v>
      </c>
      <c r="H56" s="584" t="str">
        <f t="shared" si="11"/>
        <v>rokprognozy=2016 i lp=470</v>
      </c>
      <c r="I56" s="584" t="str">
        <f t="shared" si="11"/>
        <v>rokprognozy=2017 i lp=470</v>
      </c>
      <c r="J56" s="584" t="str">
        <f t="shared" si="11"/>
        <v>rokprognozy=2018 i lp=470</v>
      </c>
      <c r="K56" s="584" t="str">
        <f t="shared" si="11"/>
        <v>rokprognozy=2019 i lp=470</v>
      </c>
      <c r="L56" s="584" t="str">
        <f t="shared" si="11"/>
        <v>rokprognozy=2020 i lp=470</v>
      </c>
      <c r="M56" s="584" t="str">
        <f t="shared" si="11"/>
        <v>rokprognozy=2021 i lp=470</v>
      </c>
      <c r="N56" s="584" t="str">
        <f t="shared" si="11"/>
        <v>rokprognozy=2022 i lp=470</v>
      </c>
      <c r="O56" s="584" t="str">
        <f t="shared" si="11"/>
        <v>rokprognozy=2023 i lp=470</v>
      </c>
      <c r="P56" s="584" t="str">
        <f t="shared" si="11"/>
        <v>rokprognozy=2024 i lp=470</v>
      </c>
      <c r="Q56" s="584" t="str">
        <f t="shared" si="11"/>
        <v>rokprognozy=2025 i lp=470</v>
      </c>
      <c r="R56" s="584" t="str">
        <f t="shared" si="11"/>
        <v>rokprognozy=2026 i lp=470</v>
      </c>
      <c r="S56" s="584" t="str">
        <f t="shared" si="11"/>
        <v>rokprognozy=2027 i lp=470</v>
      </c>
      <c r="T56" s="584" t="str">
        <f t="shared" si="8"/>
        <v>rokprognozy=2028 i lp=470</v>
      </c>
      <c r="U56" s="584" t="str">
        <f t="shared" si="8"/>
        <v>rokprognozy=2029 i lp=470</v>
      </c>
      <c r="V56" s="584" t="str">
        <f t="shared" si="8"/>
        <v>rokprognozy=2030 i lp=470</v>
      </c>
      <c r="W56" s="584" t="str">
        <f t="shared" si="8"/>
        <v>rokprognozy=2031 i lp=470</v>
      </c>
      <c r="X56" s="584" t="str">
        <f t="shared" si="8"/>
        <v>rokprognozy=2032 i lp=470</v>
      </c>
      <c r="Y56" s="584" t="str">
        <f>+"rokprognozy="&amp;Y$9&amp;" i lp="&amp;$A56</f>
        <v>rokprognozy=2033 i lp=470</v>
      </c>
      <c r="Z56" s="584" t="str">
        <f>+"rokprognozy="&amp;Z$9&amp;" i lp="&amp;$A56</f>
        <v>rokprognozy=2034 i lp=470</v>
      </c>
      <c r="AA56" s="584" t="str">
        <f>+"rokprognozy="&amp;AA$9&amp;" i lp="&amp;$A56</f>
        <v>rokprognozy=2035 i lp=470</v>
      </c>
      <c r="AB56" s="584" t="str">
        <f>+"rokprognozy="&amp;AB$9&amp;" i lp="&amp;$A56</f>
        <v>rokprognozy=2036 i lp=470</v>
      </c>
      <c r="AC56" s="584" t="str">
        <f>+"rokprognozy="&amp;AC$9&amp;" i lp="&amp;$A56</f>
        <v>rokprognozy=2037 i lp=470</v>
      </c>
      <c r="AD56" s="584" t="str">
        <f t="shared" si="9"/>
        <v>rokprognozy=2038 i lp=470</v>
      </c>
      <c r="AE56" s="584" t="str">
        <f t="shared" si="9"/>
        <v>rokprognozy=2039 i lp=470</v>
      </c>
      <c r="AF56" s="584" t="str">
        <f t="shared" si="9"/>
        <v>rokprognozy=2040 i lp=470</v>
      </c>
      <c r="AG56" s="584" t="str">
        <f t="shared" si="9"/>
        <v>rokprognozy=2041 i lp=470</v>
      </c>
      <c r="AH56" s="584" t="str">
        <f t="shared" si="10"/>
        <v>rokprognozy=2042 i lp=470</v>
      </c>
    </row>
    <row r="57" spans="1:34" ht="12.75">
      <c r="A57" s="583">
        <v>480</v>
      </c>
      <c r="B57" s="583">
        <v>9.4</v>
      </c>
      <c r="C57" s="584" t="s">
        <v>419</v>
      </c>
      <c r="D57" s="584" t="str">
        <f t="shared" si="3"/>
        <v>rokprognozy=2013 i lp=480</v>
      </c>
      <c r="E57" s="584" t="str">
        <f t="shared" si="11"/>
        <v>rokprognozy=2013 i lp=480</v>
      </c>
      <c r="F57" s="584" t="str">
        <f t="shared" si="11"/>
        <v>rokprognozy=2014 i lp=480</v>
      </c>
      <c r="G57" s="584" t="str">
        <f t="shared" si="11"/>
        <v>rokprognozy=2015 i lp=480</v>
      </c>
      <c r="H57" s="584" t="str">
        <f t="shared" si="11"/>
        <v>rokprognozy=2016 i lp=480</v>
      </c>
      <c r="I57" s="584" t="str">
        <f t="shared" si="11"/>
        <v>rokprognozy=2017 i lp=480</v>
      </c>
      <c r="J57" s="584" t="str">
        <f t="shared" si="11"/>
        <v>rokprognozy=2018 i lp=480</v>
      </c>
      <c r="K57" s="584" t="str">
        <f t="shared" si="11"/>
        <v>rokprognozy=2019 i lp=480</v>
      </c>
      <c r="L57" s="584" t="str">
        <f t="shared" si="11"/>
        <v>rokprognozy=2020 i lp=480</v>
      </c>
      <c r="M57" s="584" t="str">
        <f t="shared" si="11"/>
        <v>rokprognozy=2021 i lp=480</v>
      </c>
      <c r="N57" s="584" t="str">
        <f t="shared" si="8"/>
        <v>rokprognozy=2022 i lp=480</v>
      </c>
      <c r="O57" s="584" t="str">
        <f t="shared" si="8"/>
        <v>rokprognozy=2023 i lp=480</v>
      </c>
      <c r="P57" s="584" t="str">
        <f t="shared" si="8"/>
        <v>rokprognozy=2024 i lp=480</v>
      </c>
      <c r="Q57" s="584" t="str">
        <f t="shared" si="8"/>
        <v>rokprognozy=2025 i lp=480</v>
      </c>
      <c r="R57" s="584" t="str">
        <f t="shared" si="8"/>
        <v>rokprognozy=2026 i lp=480</v>
      </c>
      <c r="S57" s="584" t="str">
        <f t="shared" si="8"/>
        <v>rokprognozy=2027 i lp=480</v>
      </c>
      <c r="T57" s="584" t="str">
        <f t="shared" si="8"/>
        <v>rokprognozy=2028 i lp=480</v>
      </c>
      <c r="U57" s="584" t="str">
        <f t="shared" si="8"/>
        <v>rokprognozy=2029 i lp=480</v>
      </c>
      <c r="V57" s="584" t="str">
        <f t="shared" si="8"/>
        <v>rokprognozy=2030 i lp=480</v>
      </c>
      <c r="W57" s="584" t="str">
        <f t="shared" si="8"/>
        <v>rokprognozy=2031 i lp=480</v>
      </c>
      <c r="X57" s="584" t="str">
        <f t="shared" si="8"/>
        <v>rokprognozy=2032 i lp=480</v>
      </c>
      <c r="Y57" s="584" t="str">
        <f t="shared" si="8"/>
        <v>rokprognozy=2033 i lp=480</v>
      </c>
      <c r="Z57" s="584" t="str">
        <f t="shared" si="8"/>
        <v>rokprognozy=2034 i lp=480</v>
      </c>
      <c r="AA57" s="584" t="str">
        <f t="shared" si="8"/>
        <v>rokprognozy=2035 i lp=480</v>
      </c>
      <c r="AB57" s="584" t="str">
        <f t="shared" si="8"/>
        <v>rokprognozy=2036 i lp=480</v>
      </c>
      <c r="AC57" s="584" t="str">
        <f t="shared" si="8"/>
        <v>rokprognozy=2037 i lp=480</v>
      </c>
      <c r="AD57" s="584" t="str">
        <f t="shared" si="9"/>
        <v>rokprognozy=2038 i lp=480</v>
      </c>
      <c r="AE57" s="584" t="str">
        <f t="shared" si="9"/>
        <v>rokprognozy=2039 i lp=480</v>
      </c>
      <c r="AF57" s="584" t="str">
        <f t="shared" si="9"/>
        <v>rokprognozy=2040 i lp=480</v>
      </c>
      <c r="AG57" s="584" t="str">
        <f t="shared" si="9"/>
        <v>rokprognozy=2041 i lp=480</v>
      </c>
      <c r="AH57" s="584" t="str">
        <f t="shared" si="10"/>
        <v>rokprognozy=2042 i lp=480</v>
      </c>
    </row>
    <row r="58" spans="1:34" ht="12.75">
      <c r="A58" s="583">
        <v>490</v>
      </c>
      <c r="B58" s="583">
        <v>9.5</v>
      </c>
      <c r="C58" s="584" t="s">
        <v>420</v>
      </c>
      <c r="D58" s="584" t="str">
        <f t="shared" si="3"/>
        <v>rokprognozy=2013 i lp=490</v>
      </c>
      <c r="E58" s="584" t="str">
        <f t="shared" si="11"/>
        <v>rokprognozy=2013 i lp=490</v>
      </c>
      <c r="F58" s="584" t="str">
        <f t="shared" si="11"/>
        <v>rokprognozy=2014 i lp=490</v>
      </c>
      <c r="G58" s="584" t="str">
        <f t="shared" si="11"/>
        <v>rokprognozy=2015 i lp=490</v>
      </c>
      <c r="H58" s="584" t="str">
        <f t="shared" si="11"/>
        <v>rokprognozy=2016 i lp=490</v>
      </c>
      <c r="I58" s="584" t="str">
        <f t="shared" si="11"/>
        <v>rokprognozy=2017 i lp=490</v>
      </c>
      <c r="J58" s="584" t="str">
        <f t="shared" si="11"/>
        <v>rokprognozy=2018 i lp=490</v>
      </c>
      <c r="K58" s="584" t="str">
        <f t="shared" si="11"/>
        <v>rokprognozy=2019 i lp=490</v>
      </c>
      <c r="L58" s="584" t="str">
        <f t="shared" si="11"/>
        <v>rokprognozy=2020 i lp=490</v>
      </c>
      <c r="M58" s="584" t="str">
        <f t="shared" si="11"/>
        <v>rokprognozy=2021 i lp=490</v>
      </c>
      <c r="N58" s="584" t="str">
        <f t="shared" si="8"/>
        <v>rokprognozy=2022 i lp=490</v>
      </c>
      <c r="O58" s="584" t="str">
        <f t="shared" si="8"/>
        <v>rokprognozy=2023 i lp=490</v>
      </c>
      <c r="P58" s="584" t="str">
        <f t="shared" si="8"/>
        <v>rokprognozy=2024 i lp=490</v>
      </c>
      <c r="Q58" s="584" t="str">
        <f t="shared" si="8"/>
        <v>rokprognozy=2025 i lp=490</v>
      </c>
      <c r="R58" s="584" t="str">
        <f t="shared" si="8"/>
        <v>rokprognozy=2026 i lp=490</v>
      </c>
      <c r="S58" s="584" t="str">
        <f t="shared" si="8"/>
        <v>rokprognozy=2027 i lp=490</v>
      </c>
      <c r="T58" s="584" t="str">
        <f t="shared" si="8"/>
        <v>rokprognozy=2028 i lp=490</v>
      </c>
      <c r="U58" s="584" t="str">
        <f t="shared" si="8"/>
        <v>rokprognozy=2029 i lp=490</v>
      </c>
      <c r="V58" s="584" t="str">
        <f t="shared" si="8"/>
        <v>rokprognozy=2030 i lp=490</v>
      </c>
      <c r="W58" s="584" t="str">
        <f t="shared" si="8"/>
        <v>rokprognozy=2031 i lp=490</v>
      </c>
      <c r="X58" s="584" t="str">
        <f t="shared" si="8"/>
        <v>rokprognozy=2032 i lp=490</v>
      </c>
      <c r="Y58" s="584" t="str">
        <f t="shared" si="8"/>
        <v>rokprognozy=2033 i lp=490</v>
      </c>
      <c r="Z58" s="584" t="str">
        <f t="shared" si="8"/>
        <v>rokprognozy=2034 i lp=490</v>
      </c>
      <c r="AA58" s="584" t="str">
        <f t="shared" si="8"/>
        <v>rokprognozy=2035 i lp=490</v>
      </c>
      <c r="AB58" s="584" t="str">
        <f t="shared" si="8"/>
        <v>rokprognozy=2036 i lp=490</v>
      </c>
      <c r="AC58" s="584" t="str">
        <f t="shared" si="8"/>
        <v>rokprognozy=2037 i lp=490</v>
      </c>
      <c r="AD58" s="584" t="str">
        <f t="shared" si="9"/>
        <v>rokprognozy=2038 i lp=490</v>
      </c>
      <c r="AE58" s="584" t="str">
        <f t="shared" si="9"/>
        <v>rokprognozy=2039 i lp=490</v>
      </c>
      <c r="AF58" s="584" t="str">
        <f t="shared" si="9"/>
        <v>rokprognozy=2040 i lp=490</v>
      </c>
      <c r="AG58" s="584" t="str">
        <f t="shared" si="9"/>
        <v>rokprognozy=2041 i lp=490</v>
      </c>
      <c r="AH58" s="584" t="str">
        <f t="shared" si="10"/>
        <v>rokprognozy=2042 i lp=490</v>
      </c>
    </row>
    <row r="59" spans="1:34" ht="12.75">
      <c r="A59" s="583">
        <v>500</v>
      </c>
      <c r="B59" s="583">
        <v>9.6</v>
      </c>
      <c r="C59" s="584" t="s">
        <v>421</v>
      </c>
      <c r="D59" s="584" t="str">
        <f t="shared" si="3"/>
        <v>rokprognozy=2013 i lp=500</v>
      </c>
      <c r="E59" s="584" t="str">
        <f t="shared" si="11"/>
        <v>rokprognozy=2013 i lp=500</v>
      </c>
      <c r="F59" s="584" t="str">
        <f t="shared" si="11"/>
        <v>rokprognozy=2014 i lp=500</v>
      </c>
      <c r="G59" s="584" t="str">
        <f t="shared" si="11"/>
        <v>rokprognozy=2015 i lp=500</v>
      </c>
      <c r="H59" s="584" t="str">
        <f t="shared" si="11"/>
        <v>rokprognozy=2016 i lp=500</v>
      </c>
      <c r="I59" s="584" t="str">
        <f t="shared" si="11"/>
        <v>rokprognozy=2017 i lp=500</v>
      </c>
      <c r="J59" s="584" t="str">
        <f t="shared" si="11"/>
        <v>rokprognozy=2018 i lp=500</v>
      </c>
      <c r="K59" s="584" t="str">
        <f t="shared" si="11"/>
        <v>rokprognozy=2019 i lp=500</v>
      </c>
      <c r="L59" s="584" t="str">
        <f t="shared" si="11"/>
        <v>rokprognozy=2020 i lp=500</v>
      </c>
      <c r="M59" s="584" t="str">
        <f t="shared" si="11"/>
        <v>rokprognozy=2021 i lp=500</v>
      </c>
      <c r="N59" s="584" t="str">
        <f t="shared" si="8"/>
        <v>rokprognozy=2022 i lp=500</v>
      </c>
      <c r="O59" s="584" t="str">
        <f t="shared" si="8"/>
        <v>rokprognozy=2023 i lp=500</v>
      </c>
      <c r="P59" s="584" t="str">
        <f t="shared" si="8"/>
        <v>rokprognozy=2024 i lp=500</v>
      </c>
      <c r="Q59" s="584" t="str">
        <f t="shared" si="8"/>
        <v>rokprognozy=2025 i lp=500</v>
      </c>
      <c r="R59" s="584" t="str">
        <f t="shared" si="8"/>
        <v>rokprognozy=2026 i lp=500</v>
      </c>
      <c r="S59" s="584" t="str">
        <f t="shared" si="8"/>
        <v>rokprognozy=2027 i lp=500</v>
      </c>
      <c r="T59" s="584" t="str">
        <f t="shared" si="8"/>
        <v>rokprognozy=2028 i lp=500</v>
      </c>
      <c r="U59" s="584" t="str">
        <f t="shared" si="8"/>
        <v>rokprognozy=2029 i lp=500</v>
      </c>
      <c r="V59" s="584" t="str">
        <f t="shared" si="8"/>
        <v>rokprognozy=2030 i lp=500</v>
      </c>
      <c r="W59" s="584" t="str">
        <f t="shared" si="8"/>
        <v>rokprognozy=2031 i lp=500</v>
      </c>
      <c r="X59" s="584" t="str">
        <f t="shared" si="8"/>
        <v>rokprognozy=2032 i lp=500</v>
      </c>
      <c r="Y59" s="584" t="str">
        <f t="shared" si="8"/>
        <v>rokprognozy=2033 i lp=500</v>
      </c>
      <c r="Z59" s="584" t="str">
        <f t="shared" si="8"/>
        <v>rokprognozy=2034 i lp=500</v>
      </c>
      <c r="AA59" s="584" t="str">
        <f t="shared" si="8"/>
        <v>rokprognozy=2035 i lp=500</v>
      </c>
      <c r="AB59" s="584" t="str">
        <f t="shared" si="8"/>
        <v>rokprognozy=2036 i lp=500</v>
      </c>
      <c r="AC59" s="584" t="str">
        <f t="shared" si="8"/>
        <v>rokprognozy=2037 i lp=500</v>
      </c>
      <c r="AD59" s="584" t="str">
        <f t="shared" si="9"/>
        <v>rokprognozy=2038 i lp=500</v>
      </c>
      <c r="AE59" s="584" t="str">
        <f t="shared" si="9"/>
        <v>rokprognozy=2039 i lp=500</v>
      </c>
      <c r="AF59" s="584" t="str">
        <f t="shared" si="9"/>
        <v>rokprognozy=2040 i lp=500</v>
      </c>
      <c r="AG59" s="584" t="str">
        <f t="shared" si="9"/>
        <v>rokprognozy=2041 i lp=500</v>
      </c>
      <c r="AH59" s="584" t="str">
        <f t="shared" si="10"/>
        <v>rokprognozy=2042 i lp=500</v>
      </c>
    </row>
    <row r="60" spans="1:34" ht="12.75">
      <c r="A60" s="583">
        <v>505</v>
      </c>
      <c r="B60" s="583" t="s">
        <v>98</v>
      </c>
      <c r="C60" s="584" t="s">
        <v>422</v>
      </c>
      <c r="D60" s="584" t="str">
        <f t="shared" si="3"/>
        <v>rokprognozy=2013 i lp=505</v>
      </c>
      <c r="E60" s="584" t="str">
        <f t="shared" si="11"/>
        <v>rokprognozy=2013 i lp=505</v>
      </c>
      <c r="F60" s="584" t="str">
        <f t="shared" si="11"/>
        <v>rokprognozy=2014 i lp=505</v>
      </c>
      <c r="G60" s="584" t="str">
        <f t="shared" si="11"/>
        <v>rokprognozy=2015 i lp=505</v>
      </c>
      <c r="H60" s="584" t="str">
        <f t="shared" si="11"/>
        <v>rokprognozy=2016 i lp=505</v>
      </c>
      <c r="I60" s="584" t="str">
        <f t="shared" si="11"/>
        <v>rokprognozy=2017 i lp=505</v>
      </c>
      <c r="J60" s="584" t="str">
        <f t="shared" si="11"/>
        <v>rokprognozy=2018 i lp=505</v>
      </c>
      <c r="K60" s="584" t="str">
        <f t="shared" si="11"/>
        <v>rokprognozy=2019 i lp=505</v>
      </c>
      <c r="L60" s="584" t="str">
        <f t="shared" si="11"/>
        <v>rokprognozy=2020 i lp=505</v>
      </c>
      <c r="M60" s="584" t="str">
        <f t="shared" si="11"/>
        <v>rokprognozy=2021 i lp=505</v>
      </c>
      <c r="N60" s="584" t="str">
        <f t="shared" si="8"/>
        <v>rokprognozy=2022 i lp=505</v>
      </c>
      <c r="O60" s="584" t="str">
        <f t="shared" si="8"/>
        <v>rokprognozy=2023 i lp=505</v>
      </c>
      <c r="P60" s="584" t="str">
        <f t="shared" si="8"/>
        <v>rokprognozy=2024 i lp=505</v>
      </c>
      <c r="Q60" s="584" t="str">
        <f t="shared" si="8"/>
        <v>rokprognozy=2025 i lp=505</v>
      </c>
      <c r="R60" s="584" t="str">
        <f t="shared" si="8"/>
        <v>rokprognozy=2026 i lp=505</v>
      </c>
      <c r="S60" s="584" t="str">
        <f t="shared" si="8"/>
        <v>rokprognozy=2027 i lp=505</v>
      </c>
      <c r="T60" s="584" t="str">
        <f t="shared" si="8"/>
        <v>rokprognozy=2028 i lp=505</v>
      </c>
      <c r="U60" s="584" t="str">
        <f t="shared" si="8"/>
        <v>rokprognozy=2029 i lp=505</v>
      </c>
      <c r="V60" s="584" t="str">
        <f t="shared" si="8"/>
        <v>rokprognozy=2030 i lp=505</v>
      </c>
      <c r="W60" s="584" t="str">
        <f t="shared" si="8"/>
        <v>rokprognozy=2031 i lp=505</v>
      </c>
      <c r="X60" s="584" t="str">
        <f t="shared" si="8"/>
        <v>rokprognozy=2032 i lp=505</v>
      </c>
      <c r="Y60" s="584" t="str">
        <f t="shared" si="8"/>
        <v>rokprognozy=2033 i lp=505</v>
      </c>
      <c r="Z60" s="584" t="str">
        <f t="shared" si="8"/>
        <v>rokprognozy=2034 i lp=505</v>
      </c>
      <c r="AA60" s="584" t="str">
        <f t="shared" si="8"/>
        <v>rokprognozy=2035 i lp=505</v>
      </c>
      <c r="AB60" s="584" t="str">
        <f t="shared" si="8"/>
        <v>rokprognozy=2036 i lp=505</v>
      </c>
      <c r="AC60" s="584" t="str">
        <f t="shared" si="8"/>
        <v>rokprognozy=2037 i lp=505</v>
      </c>
      <c r="AD60" s="584" t="str">
        <f aca="true" t="shared" si="12" ref="AD60:AH75">+"rokprognozy="&amp;AD$9&amp;" i lp="&amp;$A60</f>
        <v>rokprognozy=2038 i lp=505</v>
      </c>
      <c r="AE60" s="584" t="str">
        <f t="shared" si="12"/>
        <v>rokprognozy=2039 i lp=505</v>
      </c>
      <c r="AF60" s="584" t="str">
        <f t="shared" si="12"/>
        <v>rokprognozy=2040 i lp=505</v>
      </c>
      <c r="AG60" s="584" t="str">
        <f t="shared" si="12"/>
        <v>rokprognozy=2041 i lp=505</v>
      </c>
      <c r="AH60" s="584" t="str">
        <f t="shared" si="12"/>
        <v>rokprognozy=2042 i lp=505</v>
      </c>
    </row>
    <row r="61" spans="1:34" ht="12.75">
      <c r="A61" s="583">
        <v>510</v>
      </c>
      <c r="B61" s="583">
        <v>9.7</v>
      </c>
      <c r="C61" s="584" t="s">
        <v>423</v>
      </c>
      <c r="D61" s="584" t="str">
        <f t="shared" si="3"/>
        <v>rokprognozy=2013 i lp=510</v>
      </c>
      <c r="E61" s="584" t="str">
        <f t="shared" si="11"/>
        <v>rokprognozy=2013 i lp=510</v>
      </c>
      <c r="F61" s="584" t="str">
        <f t="shared" si="11"/>
        <v>rokprognozy=2014 i lp=510</v>
      </c>
      <c r="G61" s="584" t="str">
        <f t="shared" si="11"/>
        <v>rokprognozy=2015 i lp=510</v>
      </c>
      <c r="H61" s="584" t="str">
        <f t="shared" si="11"/>
        <v>rokprognozy=2016 i lp=510</v>
      </c>
      <c r="I61" s="584" t="str">
        <f t="shared" si="11"/>
        <v>rokprognozy=2017 i lp=510</v>
      </c>
      <c r="J61" s="584" t="str">
        <f t="shared" si="11"/>
        <v>rokprognozy=2018 i lp=510</v>
      </c>
      <c r="K61" s="584" t="str">
        <f t="shared" si="11"/>
        <v>rokprognozy=2019 i lp=510</v>
      </c>
      <c r="L61" s="584" t="str">
        <f t="shared" si="11"/>
        <v>rokprognozy=2020 i lp=510</v>
      </c>
      <c r="M61" s="584" t="str">
        <f t="shared" si="11"/>
        <v>rokprognozy=2021 i lp=510</v>
      </c>
      <c r="N61" s="584" t="str">
        <f t="shared" si="8"/>
        <v>rokprognozy=2022 i lp=510</v>
      </c>
      <c r="O61" s="584" t="str">
        <f t="shared" si="8"/>
        <v>rokprognozy=2023 i lp=510</v>
      </c>
      <c r="P61" s="584" t="str">
        <f t="shared" si="8"/>
        <v>rokprognozy=2024 i lp=510</v>
      </c>
      <c r="Q61" s="584" t="str">
        <f t="shared" si="8"/>
        <v>rokprognozy=2025 i lp=510</v>
      </c>
      <c r="R61" s="584" t="str">
        <f t="shared" si="8"/>
        <v>rokprognozy=2026 i lp=510</v>
      </c>
      <c r="S61" s="584" t="str">
        <f t="shared" si="8"/>
        <v>rokprognozy=2027 i lp=510</v>
      </c>
      <c r="T61" s="584" t="str">
        <f t="shared" si="8"/>
        <v>rokprognozy=2028 i lp=510</v>
      </c>
      <c r="U61" s="584" t="str">
        <f t="shared" si="8"/>
        <v>rokprognozy=2029 i lp=510</v>
      </c>
      <c r="V61" s="584" t="str">
        <f t="shared" si="8"/>
        <v>rokprognozy=2030 i lp=510</v>
      </c>
      <c r="W61" s="584" t="str">
        <f t="shared" si="8"/>
        <v>rokprognozy=2031 i lp=510</v>
      </c>
      <c r="X61" s="584" t="str">
        <f t="shared" si="8"/>
        <v>rokprognozy=2032 i lp=510</v>
      </c>
      <c r="Y61" s="584" t="str">
        <f t="shared" si="8"/>
        <v>rokprognozy=2033 i lp=510</v>
      </c>
      <c r="Z61" s="584" t="str">
        <f t="shared" si="8"/>
        <v>rokprognozy=2034 i lp=510</v>
      </c>
      <c r="AA61" s="584" t="str">
        <f t="shared" si="8"/>
        <v>rokprognozy=2035 i lp=510</v>
      </c>
      <c r="AB61" s="584" t="str">
        <f t="shared" si="8"/>
        <v>rokprognozy=2036 i lp=510</v>
      </c>
      <c r="AC61" s="584" t="str">
        <f t="shared" si="8"/>
        <v>rokprognozy=2037 i lp=510</v>
      </c>
      <c r="AD61" s="584" t="str">
        <f t="shared" si="12"/>
        <v>rokprognozy=2038 i lp=510</v>
      </c>
      <c r="AE61" s="584" t="str">
        <f t="shared" si="12"/>
        <v>rokprognozy=2039 i lp=510</v>
      </c>
      <c r="AF61" s="584" t="str">
        <f t="shared" si="12"/>
        <v>rokprognozy=2040 i lp=510</v>
      </c>
      <c r="AG61" s="584" t="str">
        <f t="shared" si="12"/>
        <v>rokprognozy=2041 i lp=510</v>
      </c>
      <c r="AH61" s="584" t="str">
        <f t="shared" si="12"/>
        <v>rokprognozy=2042 i lp=510</v>
      </c>
    </row>
    <row r="62" spans="1:34" ht="12.75">
      <c r="A62" s="583">
        <v>520</v>
      </c>
      <c r="B62" s="583" t="s">
        <v>102</v>
      </c>
      <c r="C62" s="584" t="s">
        <v>424</v>
      </c>
      <c r="D62" s="584" t="str">
        <f t="shared" si="3"/>
        <v>rokprognozy=2013 i lp=520</v>
      </c>
      <c r="E62" s="584" t="str">
        <f t="shared" si="11"/>
        <v>rokprognozy=2013 i lp=520</v>
      </c>
      <c r="F62" s="584" t="str">
        <f t="shared" si="11"/>
        <v>rokprognozy=2014 i lp=520</v>
      </c>
      <c r="G62" s="584" t="str">
        <f t="shared" si="11"/>
        <v>rokprognozy=2015 i lp=520</v>
      </c>
      <c r="H62" s="584" t="str">
        <f t="shared" si="11"/>
        <v>rokprognozy=2016 i lp=520</v>
      </c>
      <c r="I62" s="584" t="str">
        <f t="shared" si="11"/>
        <v>rokprognozy=2017 i lp=520</v>
      </c>
      <c r="J62" s="584" t="str">
        <f t="shared" si="11"/>
        <v>rokprognozy=2018 i lp=520</v>
      </c>
      <c r="K62" s="584" t="str">
        <f t="shared" si="11"/>
        <v>rokprognozy=2019 i lp=520</v>
      </c>
      <c r="L62" s="584" t="str">
        <f t="shared" si="11"/>
        <v>rokprognozy=2020 i lp=520</v>
      </c>
      <c r="M62" s="584" t="str">
        <f t="shared" si="11"/>
        <v>rokprognozy=2021 i lp=520</v>
      </c>
      <c r="N62" s="584" t="str">
        <f t="shared" si="8"/>
        <v>rokprognozy=2022 i lp=520</v>
      </c>
      <c r="O62" s="584" t="str">
        <f t="shared" si="8"/>
        <v>rokprognozy=2023 i lp=520</v>
      </c>
      <c r="P62" s="584" t="str">
        <f t="shared" si="8"/>
        <v>rokprognozy=2024 i lp=520</v>
      </c>
      <c r="Q62" s="584" t="str">
        <f t="shared" si="8"/>
        <v>rokprognozy=2025 i lp=520</v>
      </c>
      <c r="R62" s="584" t="str">
        <f t="shared" si="8"/>
        <v>rokprognozy=2026 i lp=520</v>
      </c>
      <c r="S62" s="584" t="str">
        <f t="shared" si="8"/>
        <v>rokprognozy=2027 i lp=520</v>
      </c>
      <c r="T62" s="584" t="str">
        <f t="shared" si="8"/>
        <v>rokprognozy=2028 i lp=520</v>
      </c>
      <c r="U62" s="584" t="str">
        <f t="shared" si="8"/>
        <v>rokprognozy=2029 i lp=520</v>
      </c>
      <c r="V62" s="584" t="str">
        <f t="shared" si="8"/>
        <v>rokprognozy=2030 i lp=520</v>
      </c>
      <c r="W62" s="584" t="str">
        <f t="shared" si="8"/>
        <v>rokprognozy=2031 i lp=520</v>
      </c>
      <c r="X62" s="584" t="str">
        <f t="shared" si="8"/>
        <v>rokprognozy=2032 i lp=520</v>
      </c>
      <c r="Y62" s="584" t="str">
        <f t="shared" si="8"/>
        <v>rokprognozy=2033 i lp=520</v>
      </c>
      <c r="Z62" s="584" t="str">
        <f t="shared" si="8"/>
        <v>rokprognozy=2034 i lp=520</v>
      </c>
      <c r="AA62" s="584" t="str">
        <f t="shared" si="8"/>
        <v>rokprognozy=2035 i lp=520</v>
      </c>
      <c r="AB62" s="584" t="str">
        <f t="shared" si="8"/>
        <v>rokprognozy=2036 i lp=520</v>
      </c>
      <c r="AC62" s="584" t="str">
        <f t="shared" si="8"/>
        <v>rokprognozy=2037 i lp=520</v>
      </c>
      <c r="AD62" s="584" t="str">
        <f t="shared" si="12"/>
        <v>rokprognozy=2038 i lp=520</v>
      </c>
      <c r="AE62" s="584" t="str">
        <f t="shared" si="12"/>
        <v>rokprognozy=2039 i lp=520</v>
      </c>
      <c r="AF62" s="584" t="str">
        <f t="shared" si="12"/>
        <v>rokprognozy=2040 i lp=520</v>
      </c>
      <c r="AG62" s="584" t="str">
        <f t="shared" si="12"/>
        <v>rokprognozy=2041 i lp=520</v>
      </c>
      <c r="AH62" s="584" t="str">
        <f t="shared" si="12"/>
        <v>rokprognozy=2042 i lp=520</v>
      </c>
    </row>
    <row r="63" spans="1:34" ht="12.75">
      <c r="A63" s="583">
        <v>530</v>
      </c>
      <c r="B63" s="583">
        <v>9.8</v>
      </c>
      <c r="C63" s="584" t="s">
        <v>425</v>
      </c>
      <c r="D63" s="584" t="str">
        <f t="shared" si="3"/>
        <v>rokprognozy=2013 i lp=530</v>
      </c>
      <c r="E63" s="584" t="str">
        <f t="shared" si="11"/>
        <v>rokprognozy=2013 i lp=530</v>
      </c>
      <c r="F63" s="584" t="str">
        <f t="shared" si="11"/>
        <v>rokprognozy=2014 i lp=530</v>
      </c>
      <c r="G63" s="584" t="str">
        <f t="shared" si="11"/>
        <v>rokprognozy=2015 i lp=530</v>
      </c>
      <c r="H63" s="584" t="str">
        <f t="shared" si="11"/>
        <v>rokprognozy=2016 i lp=530</v>
      </c>
      <c r="I63" s="584" t="str">
        <f t="shared" si="11"/>
        <v>rokprognozy=2017 i lp=530</v>
      </c>
      <c r="J63" s="584" t="str">
        <f t="shared" si="11"/>
        <v>rokprognozy=2018 i lp=530</v>
      </c>
      <c r="K63" s="584" t="str">
        <f t="shared" si="11"/>
        <v>rokprognozy=2019 i lp=530</v>
      </c>
      <c r="L63" s="584" t="str">
        <f t="shared" si="11"/>
        <v>rokprognozy=2020 i lp=530</v>
      </c>
      <c r="M63" s="584" t="str">
        <f t="shared" si="11"/>
        <v>rokprognozy=2021 i lp=530</v>
      </c>
      <c r="N63" s="584" t="str">
        <f t="shared" si="8"/>
        <v>rokprognozy=2022 i lp=530</v>
      </c>
      <c r="O63" s="584" t="str">
        <f t="shared" si="8"/>
        <v>rokprognozy=2023 i lp=530</v>
      </c>
      <c r="P63" s="584" t="str">
        <f t="shared" si="8"/>
        <v>rokprognozy=2024 i lp=530</v>
      </c>
      <c r="Q63" s="584" t="str">
        <f t="shared" si="8"/>
        <v>rokprognozy=2025 i lp=530</v>
      </c>
      <c r="R63" s="584" t="str">
        <f t="shared" si="8"/>
        <v>rokprognozy=2026 i lp=530</v>
      </c>
      <c r="S63" s="584" t="str">
        <f t="shared" si="8"/>
        <v>rokprognozy=2027 i lp=530</v>
      </c>
      <c r="T63" s="584" t="str">
        <f t="shared" si="8"/>
        <v>rokprognozy=2028 i lp=530</v>
      </c>
      <c r="U63" s="584" t="str">
        <f t="shared" si="8"/>
        <v>rokprognozy=2029 i lp=530</v>
      </c>
      <c r="V63" s="584" t="str">
        <f t="shared" si="8"/>
        <v>rokprognozy=2030 i lp=530</v>
      </c>
      <c r="W63" s="584" t="str">
        <f t="shared" si="8"/>
        <v>rokprognozy=2031 i lp=530</v>
      </c>
      <c r="X63" s="584" t="str">
        <f t="shared" si="8"/>
        <v>rokprognozy=2032 i lp=530</v>
      </c>
      <c r="Y63" s="584" t="str">
        <f t="shared" si="8"/>
        <v>rokprognozy=2033 i lp=530</v>
      </c>
      <c r="Z63" s="584" t="str">
        <f t="shared" si="8"/>
        <v>rokprognozy=2034 i lp=530</v>
      </c>
      <c r="AA63" s="584" t="str">
        <f t="shared" si="8"/>
        <v>rokprognozy=2035 i lp=530</v>
      </c>
      <c r="AB63" s="584" t="str">
        <f t="shared" si="8"/>
        <v>rokprognozy=2036 i lp=530</v>
      </c>
      <c r="AC63" s="584" t="str">
        <f t="shared" si="8"/>
        <v>rokprognozy=2037 i lp=530</v>
      </c>
      <c r="AD63" s="584" t="str">
        <f t="shared" si="12"/>
        <v>rokprognozy=2038 i lp=530</v>
      </c>
      <c r="AE63" s="584" t="str">
        <f t="shared" si="12"/>
        <v>rokprognozy=2039 i lp=530</v>
      </c>
      <c r="AF63" s="584" t="str">
        <f t="shared" si="12"/>
        <v>rokprognozy=2040 i lp=530</v>
      </c>
      <c r="AG63" s="584" t="str">
        <f t="shared" si="12"/>
        <v>rokprognozy=2041 i lp=530</v>
      </c>
      <c r="AH63" s="584" t="str">
        <f t="shared" si="12"/>
        <v>rokprognozy=2042 i lp=530</v>
      </c>
    </row>
    <row r="64" spans="1:34" ht="12.75">
      <c r="A64" s="583">
        <v>540</v>
      </c>
      <c r="B64" s="583" t="s">
        <v>106</v>
      </c>
      <c r="C64" s="584" t="s">
        <v>426</v>
      </c>
      <c r="D64" s="584" t="str">
        <f t="shared" si="3"/>
        <v>rokprognozy=2013 i lp=540</v>
      </c>
      <c r="E64" s="584" t="str">
        <f t="shared" si="11"/>
        <v>rokprognozy=2013 i lp=540</v>
      </c>
      <c r="F64" s="584" t="str">
        <f t="shared" si="11"/>
        <v>rokprognozy=2014 i lp=540</v>
      </c>
      <c r="G64" s="584" t="str">
        <f t="shared" si="11"/>
        <v>rokprognozy=2015 i lp=540</v>
      </c>
      <c r="H64" s="584" t="str">
        <f t="shared" si="11"/>
        <v>rokprognozy=2016 i lp=540</v>
      </c>
      <c r="I64" s="584" t="str">
        <f t="shared" si="11"/>
        <v>rokprognozy=2017 i lp=540</v>
      </c>
      <c r="J64" s="584" t="str">
        <f t="shared" si="11"/>
        <v>rokprognozy=2018 i lp=540</v>
      </c>
      <c r="K64" s="584" t="str">
        <f t="shared" si="11"/>
        <v>rokprognozy=2019 i lp=540</v>
      </c>
      <c r="L64" s="584" t="str">
        <f t="shared" si="11"/>
        <v>rokprognozy=2020 i lp=540</v>
      </c>
      <c r="M64" s="584" t="str">
        <f t="shared" si="11"/>
        <v>rokprognozy=2021 i lp=540</v>
      </c>
      <c r="N64" s="584" t="str">
        <f t="shared" si="8"/>
        <v>rokprognozy=2022 i lp=540</v>
      </c>
      <c r="O64" s="584" t="str">
        <f t="shared" si="8"/>
        <v>rokprognozy=2023 i lp=540</v>
      </c>
      <c r="P64" s="584" t="str">
        <f t="shared" si="8"/>
        <v>rokprognozy=2024 i lp=540</v>
      </c>
      <c r="Q64" s="584" t="str">
        <f t="shared" si="8"/>
        <v>rokprognozy=2025 i lp=540</v>
      </c>
      <c r="R64" s="584" t="str">
        <f t="shared" si="8"/>
        <v>rokprognozy=2026 i lp=540</v>
      </c>
      <c r="S64" s="584" t="str">
        <f t="shared" si="8"/>
        <v>rokprognozy=2027 i lp=540</v>
      </c>
      <c r="T64" s="584" t="str">
        <f t="shared" si="8"/>
        <v>rokprognozy=2028 i lp=540</v>
      </c>
      <c r="U64" s="584" t="str">
        <f t="shared" si="8"/>
        <v>rokprognozy=2029 i lp=540</v>
      </c>
      <c r="V64" s="584" t="str">
        <f t="shared" si="8"/>
        <v>rokprognozy=2030 i lp=540</v>
      </c>
      <c r="W64" s="584" t="str">
        <f t="shared" si="8"/>
        <v>rokprognozy=2031 i lp=540</v>
      </c>
      <c r="X64" s="584" t="str">
        <f t="shared" si="8"/>
        <v>rokprognozy=2032 i lp=540</v>
      </c>
      <c r="Y64" s="584" t="str">
        <f t="shared" si="8"/>
        <v>rokprognozy=2033 i lp=540</v>
      </c>
      <c r="Z64" s="584" t="str">
        <f t="shared" si="8"/>
        <v>rokprognozy=2034 i lp=540</v>
      </c>
      <c r="AA64" s="584" t="str">
        <f t="shared" si="8"/>
        <v>rokprognozy=2035 i lp=540</v>
      </c>
      <c r="AB64" s="584" t="str">
        <f t="shared" si="8"/>
        <v>rokprognozy=2036 i lp=540</v>
      </c>
      <c r="AC64" s="584" t="str">
        <f t="shared" si="8"/>
        <v>rokprognozy=2037 i lp=540</v>
      </c>
      <c r="AD64" s="584" t="str">
        <f t="shared" si="12"/>
        <v>rokprognozy=2038 i lp=540</v>
      </c>
      <c r="AE64" s="584" t="str">
        <f t="shared" si="12"/>
        <v>rokprognozy=2039 i lp=540</v>
      </c>
      <c r="AF64" s="584" t="str">
        <f t="shared" si="12"/>
        <v>rokprognozy=2040 i lp=540</v>
      </c>
      <c r="AG64" s="584" t="str">
        <f t="shared" si="12"/>
        <v>rokprognozy=2041 i lp=540</v>
      </c>
      <c r="AH64" s="584" t="str">
        <f t="shared" si="12"/>
        <v>rokprognozy=2042 i lp=540</v>
      </c>
    </row>
    <row r="65" spans="1:34" ht="12.75">
      <c r="A65" s="583">
        <v>550</v>
      </c>
      <c r="B65" s="583">
        <v>10</v>
      </c>
      <c r="C65" s="584" t="s">
        <v>427</v>
      </c>
      <c r="D65" s="584" t="str">
        <f t="shared" si="3"/>
        <v>rokprognozy=2013 i lp=550</v>
      </c>
      <c r="E65" s="584" t="str">
        <f t="shared" si="11"/>
        <v>rokprognozy=2013 i lp=550</v>
      </c>
      <c r="F65" s="584" t="str">
        <f t="shared" si="11"/>
        <v>rokprognozy=2014 i lp=550</v>
      </c>
      <c r="G65" s="584" t="str">
        <f t="shared" si="11"/>
        <v>rokprognozy=2015 i lp=550</v>
      </c>
      <c r="H65" s="584" t="str">
        <f t="shared" si="11"/>
        <v>rokprognozy=2016 i lp=550</v>
      </c>
      <c r="I65" s="584" t="str">
        <f t="shared" si="11"/>
        <v>rokprognozy=2017 i lp=550</v>
      </c>
      <c r="J65" s="584" t="str">
        <f t="shared" si="11"/>
        <v>rokprognozy=2018 i lp=550</v>
      </c>
      <c r="K65" s="584" t="str">
        <f t="shared" si="11"/>
        <v>rokprognozy=2019 i lp=550</v>
      </c>
      <c r="L65" s="584" t="str">
        <f t="shared" si="11"/>
        <v>rokprognozy=2020 i lp=550</v>
      </c>
      <c r="M65" s="584" t="str">
        <f t="shared" si="11"/>
        <v>rokprognozy=2021 i lp=550</v>
      </c>
      <c r="N65" s="584" t="str">
        <f t="shared" si="8"/>
        <v>rokprognozy=2022 i lp=550</v>
      </c>
      <c r="O65" s="584" t="str">
        <f t="shared" si="8"/>
        <v>rokprognozy=2023 i lp=550</v>
      </c>
      <c r="P65" s="584" t="str">
        <f t="shared" si="8"/>
        <v>rokprognozy=2024 i lp=550</v>
      </c>
      <c r="Q65" s="584" t="str">
        <f t="shared" si="8"/>
        <v>rokprognozy=2025 i lp=550</v>
      </c>
      <c r="R65" s="584" t="str">
        <f t="shared" si="8"/>
        <v>rokprognozy=2026 i lp=550</v>
      </c>
      <c r="S65" s="584" t="str">
        <f t="shared" si="8"/>
        <v>rokprognozy=2027 i lp=550</v>
      </c>
      <c r="T65" s="584" t="str">
        <f t="shared" si="8"/>
        <v>rokprognozy=2028 i lp=550</v>
      </c>
      <c r="U65" s="584" t="str">
        <f t="shared" si="8"/>
        <v>rokprognozy=2029 i lp=550</v>
      </c>
      <c r="V65" s="584" t="str">
        <f t="shared" si="8"/>
        <v>rokprognozy=2030 i lp=550</v>
      </c>
      <c r="W65" s="584" t="str">
        <f t="shared" si="8"/>
        <v>rokprognozy=2031 i lp=550</v>
      </c>
      <c r="X65" s="584" t="str">
        <f t="shared" si="8"/>
        <v>rokprognozy=2032 i lp=550</v>
      </c>
      <c r="Y65" s="584" t="str">
        <f t="shared" si="8"/>
        <v>rokprognozy=2033 i lp=550</v>
      </c>
      <c r="Z65" s="584" t="str">
        <f t="shared" si="8"/>
        <v>rokprognozy=2034 i lp=550</v>
      </c>
      <c r="AA65" s="584" t="str">
        <f t="shared" si="8"/>
        <v>rokprognozy=2035 i lp=550</v>
      </c>
      <c r="AB65" s="584" t="str">
        <f t="shared" si="8"/>
        <v>rokprognozy=2036 i lp=550</v>
      </c>
      <c r="AC65" s="584" t="str">
        <f t="shared" si="8"/>
        <v>rokprognozy=2037 i lp=550</v>
      </c>
      <c r="AD65" s="584" t="str">
        <f t="shared" si="12"/>
        <v>rokprognozy=2038 i lp=550</v>
      </c>
      <c r="AE65" s="584" t="str">
        <f t="shared" si="12"/>
        <v>rokprognozy=2039 i lp=550</v>
      </c>
      <c r="AF65" s="584" t="str">
        <f t="shared" si="12"/>
        <v>rokprognozy=2040 i lp=550</v>
      </c>
      <c r="AG65" s="584" t="str">
        <f t="shared" si="12"/>
        <v>rokprognozy=2041 i lp=550</v>
      </c>
      <c r="AH65" s="584" t="str">
        <f t="shared" si="12"/>
        <v>rokprognozy=2042 i lp=550</v>
      </c>
    </row>
    <row r="66" spans="1:34" ht="12.75">
      <c r="A66" s="583">
        <v>560</v>
      </c>
      <c r="B66" s="583">
        <v>10.1</v>
      </c>
      <c r="C66" s="584" t="s">
        <v>428</v>
      </c>
      <c r="D66" s="584" t="str">
        <f t="shared" si="3"/>
        <v>rokprognozy=2013 i lp=560</v>
      </c>
      <c r="E66" s="584" t="str">
        <f t="shared" si="11"/>
        <v>rokprognozy=2013 i lp=560</v>
      </c>
      <c r="F66" s="584" t="str">
        <f t="shared" si="11"/>
        <v>rokprognozy=2014 i lp=560</v>
      </c>
      <c r="G66" s="584" t="str">
        <f t="shared" si="11"/>
        <v>rokprognozy=2015 i lp=560</v>
      </c>
      <c r="H66" s="584" t="str">
        <f t="shared" si="11"/>
        <v>rokprognozy=2016 i lp=560</v>
      </c>
      <c r="I66" s="584" t="str">
        <f t="shared" si="11"/>
        <v>rokprognozy=2017 i lp=560</v>
      </c>
      <c r="J66" s="584" t="str">
        <f t="shared" si="11"/>
        <v>rokprognozy=2018 i lp=560</v>
      </c>
      <c r="K66" s="584" t="str">
        <f t="shared" si="11"/>
        <v>rokprognozy=2019 i lp=560</v>
      </c>
      <c r="L66" s="584" t="str">
        <f t="shared" si="11"/>
        <v>rokprognozy=2020 i lp=560</v>
      </c>
      <c r="M66" s="584" t="str">
        <f t="shared" si="11"/>
        <v>rokprognozy=2021 i lp=560</v>
      </c>
      <c r="N66" s="584" t="str">
        <f t="shared" si="8"/>
        <v>rokprognozy=2022 i lp=560</v>
      </c>
      <c r="O66" s="584" t="str">
        <f t="shared" si="8"/>
        <v>rokprognozy=2023 i lp=560</v>
      </c>
      <c r="P66" s="584" t="str">
        <f t="shared" si="8"/>
        <v>rokprognozy=2024 i lp=560</v>
      </c>
      <c r="Q66" s="584" t="str">
        <f t="shared" si="8"/>
        <v>rokprognozy=2025 i lp=560</v>
      </c>
      <c r="R66" s="584" t="str">
        <f t="shared" si="8"/>
        <v>rokprognozy=2026 i lp=560</v>
      </c>
      <c r="S66" s="584" t="str">
        <f t="shared" si="8"/>
        <v>rokprognozy=2027 i lp=560</v>
      </c>
      <c r="T66" s="584" t="str">
        <f t="shared" si="8"/>
        <v>rokprognozy=2028 i lp=560</v>
      </c>
      <c r="U66" s="584" t="str">
        <f t="shared" si="8"/>
        <v>rokprognozy=2029 i lp=560</v>
      </c>
      <c r="V66" s="584" t="str">
        <f t="shared" si="8"/>
        <v>rokprognozy=2030 i lp=560</v>
      </c>
      <c r="W66" s="584" t="str">
        <f t="shared" si="8"/>
        <v>rokprognozy=2031 i lp=560</v>
      </c>
      <c r="X66" s="584" t="str">
        <f t="shared" si="8"/>
        <v>rokprognozy=2032 i lp=560</v>
      </c>
      <c r="Y66" s="584" t="str">
        <f t="shared" si="8"/>
        <v>rokprognozy=2033 i lp=560</v>
      </c>
      <c r="Z66" s="584" t="str">
        <f t="shared" si="8"/>
        <v>rokprognozy=2034 i lp=560</v>
      </c>
      <c r="AA66" s="584" t="str">
        <f t="shared" si="8"/>
        <v>rokprognozy=2035 i lp=560</v>
      </c>
      <c r="AB66" s="584" t="str">
        <f t="shared" si="8"/>
        <v>rokprognozy=2036 i lp=560</v>
      </c>
      <c r="AC66" s="584" t="str">
        <f t="shared" si="8"/>
        <v>rokprognozy=2037 i lp=560</v>
      </c>
      <c r="AD66" s="584" t="str">
        <f t="shared" si="12"/>
        <v>rokprognozy=2038 i lp=560</v>
      </c>
      <c r="AE66" s="584" t="str">
        <f t="shared" si="12"/>
        <v>rokprognozy=2039 i lp=560</v>
      </c>
      <c r="AF66" s="584" t="str">
        <f t="shared" si="12"/>
        <v>rokprognozy=2040 i lp=560</v>
      </c>
      <c r="AG66" s="584" t="str">
        <f t="shared" si="12"/>
        <v>rokprognozy=2041 i lp=560</v>
      </c>
      <c r="AH66" s="584" t="str">
        <f t="shared" si="12"/>
        <v>rokprognozy=2042 i lp=560</v>
      </c>
    </row>
    <row r="67" spans="1:34" ht="12.75">
      <c r="A67" s="583">
        <v>570</v>
      </c>
      <c r="B67" s="583">
        <v>11</v>
      </c>
      <c r="C67" s="584" t="s">
        <v>111</v>
      </c>
      <c r="D67" s="584" t="str">
        <f t="shared" si="3"/>
        <v>rokprognozy=2013 i lp=570</v>
      </c>
      <c r="E67" s="584" t="str">
        <f t="shared" si="11"/>
        <v>rokprognozy=2013 i lp=570</v>
      </c>
      <c r="F67" s="584" t="str">
        <f t="shared" si="11"/>
        <v>rokprognozy=2014 i lp=570</v>
      </c>
      <c r="G67" s="584" t="str">
        <f t="shared" si="11"/>
        <v>rokprognozy=2015 i lp=570</v>
      </c>
      <c r="H67" s="584" t="str">
        <f t="shared" si="11"/>
        <v>rokprognozy=2016 i lp=570</v>
      </c>
      <c r="I67" s="584" t="str">
        <f t="shared" si="11"/>
        <v>rokprognozy=2017 i lp=570</v>
      </c>
      <c r="J67" s="584" t="str">
        <f t="shared" si="11"/>
        <v>rokprognozy=2018 i lp=570</v>
      </c>
      <c r="K67" s="584" t="str">
        <f t="shared" si="11"/>
        <v>rokprognozy=2019 i lp=570</v>
      </c>
      <c r="L67" s="584" t="str">
        <f t="shared" si="11"/>
        <v>rokprognozy=2020 i lp=570</v>
      </c>
      <c r="M67" s="584" t="str">
        <f t="shared" si="11"/>
        <v>rokprognozy=2021 i lp=570</v>
      </c>
      <c r="N67" s="584" t="str">
        <f t="shared" si="8"/>
        <v>rokprognozy=2022 i lp=570</v>
      </c>
      <c r="O67" s="584" t="str">
        <f t="shared" si="8"/>
        <v>rokprognozy=2023 i lp=570</v>
      </c>
      <c r="P67" s="584" t="str">
        <f t="shared" si="8"/>
        <v>rokprognozy=2024 i lp=570</v>
      </c>
      <c r="Q67" s="584" t="str">
        <f t="shared" si="8"/>
        <v>rokprognozy=2025 i lp=570</v>
      </c>
      <c r="R67" s="584" t="str">
        <f t="shared" si="8"/>
        <v>rokprognozy=2026 i lp=570</v>
      </c>
      <c r="S67" s="584" t="str">
        <f t="shared" si="8"/>
        <v>rokprognozy=2027 i lp=570</v>
      </c>
      <c r="T67" s="584" t="str">
        <f t="shared" si="8"/>
        <v>rokprognozy=2028 i lp=570</v>
      </c>
      <c r="U67" s="584" t="str">
        <f t="shared" si="8"/>
        <v>rokprognozy=2029 i lp=570</v>
      </c>
      <c r="V67" s="584" t="str">
        <f t="shared" si="8"/>
        <v>rokprognozy=2030 i lp=570</v>
      </c>
      <c r="W67" s="584" t="str">
        <f t="shared" si="8"/>
        <v>rokprognozy=2031 i lp=570</v>
      </c>
      <c r="X67" s="584" t="str">
        <f t="shared" si="8"/>
        <v>rokprognozy=2032 i lp=570</v>
      </c>
      <c r="Y67" s="584" t="str">
        <f t="shared" si="8"/>
        <v>rokprognozy=2033 i lp=570</v>
      </c>
      <c r="Z67" s="584" t="str">
        <f t="shared" si="8"/>
        <v>rokprognozy=2034 i lp=570</v>
      </c>
      <c r="AA67" s="584" t="str">
        <f t="shared" si="8"/>
        <v>rokprognozy=2035 i lp=570</v>
      </c>
      <c r="AB67" s="584" t="str">
        <f t="shared" si="8"/>
        <v>rokprognozy=2036 i lp=570</v>
      </c>
      <c r="AC67" s="584" t="str">
        <f t="shared" si="8"/>
        <v>rokprognozy=2037 i lp=570</v>
      </c>
      <c r="AD67" s="584" t="str">
        <f t="shared" si="12"/>
        <v>rokprognozy=2038 i lp=570</v>
      </c>
      <c r="AE67" s="584" t="str">
        <f t="shared" si="12"/>
        <v>rokprognozy=2039 i lp=570</v>
      </c>
      <c r="AF67" s="584" t="str">
        <f t="shared" si="12"/>
        <v>rokprognozy=2040 i lp=570</v>
      </c>
      <c r="AG67" s="584" t="str">
        <f t="shared" si="12"/>
        <v>rokprognozy=2041 i lp=570</v>
      </c>
      <c r="AH67" s="584" t="str">
        <f t="shared" si="12"/>
        <v>rokprognozy=2042 i lp=570</v>
      </c>
    </row>
    <row r="68" spans="1:34" ht="12.75">
      <c r="A68" s="583">
        <v>580</v>
      </c>
      <c r="B68" s="583">
        <v>11.1</v>
      </c>
      <c r="C68" s="584" t="s">
        <v>429</v>
      </c>
      <c r="D68" s="584" t="str">
        <f t="shared" si="3"/>
        <v>rokprognozy=2013 i lp=580</v>
      </c>
      <c r="E68" s="584" t="str">
        <f t="shared" si="11"/>
        <v>rokprognozy=2013 i lp=580</v>
      </c>
      <c r="F68" s="584" t="str">
        <f t="shared" si="11"/>
        <v>rokprognozy=2014 i lp=580</v>
      </c>
      <c r="G68" s="584" t="str">
        <f t="shared" si="11"/>
        <v>rokprognozy=2015 i lp=580</v>
      </c>
      <c r="H68" s="584" t="str">
        <f t="shared" si="11"/>
        <v>rokprognozy=2016 i lp=580</v>
      </c>
      <c r="I68" s="584" t="str">
        <f t="shared" si="11"/>
        <v>rokprognozy=2017 i lp=580</v>
      </c>
      <c r="J68" s="584" t="str">
        <f t="shared" si="11"/>
        <v>rokprognozy=2018 i lp=580</v>
      </c>
      <c r="K68" s="584" t="str">
        <f t="shared" si="11"/>
        <v>rokprognozy=2019 i lp=580</v>
      </c>
      <c r="L68" s="584" t="str">
        <f t="shared" si="11"/>
        <v>rokprognozy=2020 i lp=580</v>
      </c>
      <c r="M68" s="584" t="str">
        <f t="shared" si="11"/>
        <v>rokprognozy=2021 i lp=580</v>
      </c>
      <c r="N68" s="584" t="str">
        <f t="shared" si="8"/>
        <v>rokprognozy=2022 i lp=580</v>
      </c>
      <c r="O68" s="584" t="str">
        <f t="shared" si="8"/>
        <v>rokprognozy=2023 i lp=580</v>
      </c>
      <c r="P68" s="584" t="str">
        <f t="shared" si="8"/>
        <v>rokprognozy=2024 i lp=580</v>
      </c>
      <c r="Q68" s="584" t="str">
        <f t="shared" si="8"/>
        <v>rokprognozy=2025 i lp=580</v>
      </c>
      <c r="R68" s="584" t="str">
        <f t="shared" si="8"/>
        <v>rokprognozy=2026 i lp=580</v>
      </c>
      <c r="S68" s="584" t="str">
        <f t="shared" si="8"/>
        <v>rokprognozy=2027 i lp=580</v>
      </c>
      <c r="T68" s="584" t="str">
        <f t="shared" si="8"/>
        <v>rokprognozy=2028 i lp=580</v>
      </c>
      <c r="U68" s="584" t="str">
        <f t="shared" si="8"/>
        <v>rokprognozy=2029 i lp=580</v>
      </c>
      <c r="V68" s="584" t="str">
        <f t="shared" si="8"/>
        <v>rokprognozy=2030 i lp=580</v>
      </c>
      <c r="W68" s="584" t="str">
        <f t="shared" si="8"/>
        <v>rokprognozy=2031 i lp=580</v>
      </c>
      <c r="X68" s="584" t="str">
        <f t="shared" si="8"/>
        <v>rokprognozy=2032 i lp=580</v>
      </c>
      <c r="Y68" s="584" t="str">
        <f t="shared" si="8"/>
        <v>rokprognozy=2033 i lp=580</v>
      </c>
      <c r="Z68" s="584" t="str">
        <f t="shared" si="8"/>
        <v>rokprognozy=2034 i lp=580</v>
      </c>
      <c r="AA68" s="584" t="str">
        <f t="shared" si="8"/>
        <v>rokprognozy=2035 i lp=580</v>
      </c>
      <c r="AB68" s="584" t="str">
        <f t="shared" si="8"/>
        <v>rokprognozy=2036 i lp=580</v>
      </c>
      <c r="AC68" s="584" t="str">
        <f t="shared" si="8"/>
        <v>rokprognozy=2037 i lp=580</v>
      </c>
      <c r="AD68" s="584" t="str">
        <f t="shared" si="12"/>
        <v>rokprognozy=2038 i lp=580</v>
      </c>
      <c r="AE68" s="584" t="str">
        <f t="shared" si="12"/>
        <v>rokprognozy=2039 i lp=580</v>
      </c>
      <c r="AF68" s="584" t="str">
        <f t="shared" si="12"/>
        <v>rokprognozy=2040 i lp=580</v>
      </c>
      <c r="AG68" s="584" t="str">
        <f t="shared" si="12"/>
        <v>rokprognozy=2041 i lp=580</v>
      </c>
      <c r="AH68" s="584" t="str">
        <f t="shared" si="12"/>
        <v>rokprognozy=2042 i lp=580</v>
      </c>
    </row>
    <row r="69" spans="1:34" ht="12.75">
      <c r="A69" s="583">
        <v>590</v>
      </c>
      <c r="B69" s="583">
        <v>11.2</v>
      </c>
      <c r="C69" s="584" t="s">
        <v>430</v>
      </c>
      <c r="D69" s="584" t="str">
        <f t="shared" si="3"/>
        <v>rokprognozy=2013 i lp=590</v>
      </c>
      <c r="E69" s="584" t="str">
        <f aca="true" t="shared" si="13" ref="E69:T84">+"rokprognozy="&amp;E$9&amp;" i lp="&amp;$A69</f>
        <v>rokprognozy=2013 i lp=590</v>
      </c>
      <c r="F69" s="584" t="str">
        <f t="shared" si="13"/>
        <v>rokprognozy=2014 i lp=590</v>
      </c>
      <c r="G69" s="584" t="str">
        <f t="shared" si="13"/>
        <v>rokprognozy=2015 i lp=590</v>
      </c>
      <c r="H69" s="584" t="str">
        <f t="shared" si="13"/>
        <v>rokprognozy=2016 i lp=590</v>
      </c>
      <c r="I69" s="584" t="str">
        <f t="shared" si="13"/>
        <v>rokprognozy=2017 i lp=590</v>
      </c>
      <c r="J69" s="584" t="str">
        <f t="shared" si="13"/>
        <v>rokprognozy=2018 i lp=590</v>
      </c>
      <c r="K69" s="584" t="str">
        <f t="shared" si="13"/>
        <v>rokprognozy=2019 i lp=590</v>
      </c>
      <c r="L69" s="584" t="str">
        <f t="shared" si="13"/>
        <v>rokprognozy=2020 i lp=590</v>
      </c>
      <c r="M69" s="584" t="str">
        <f t="shared" si="13"/>
        <v>rokprognozy=2021 i lp=590</v>
      </c>
      <c r="N69" s="584" t="str">
        <f t="shared" si="8"/>
        <v>rokprognozy=2022 i lp=590</v>
      </c>
      <c r="O69" s="584" t="str">
        <f t="shared" si="8"/>
        <v>rokprognozy=2023 i lp=590</v>
      </c>
      <c r="P69" s="584" t="str">
        <f t="shared" si="8"/>
        <v>rokprognozy=2024 i lp=590</v>
      </c>
      <c r="Q69" s="584" t="str">
        <f t="shared" si="8"/>
        <v>rokprognozy=2025 i lp=590</v>
      </c>
      <c r="R69" s="584" t="str">
        <f t="shared" si="8"/>
        <v>rokprognozy=2026 i lp=590</v>
      </c>
      <c r="S69" s="584" t="str">
        <f t="shared" si="8"/>
        <v>rokprognozy=2027 i lp=590</v>
      </c>
      <c r="T69" s="584" t="str">
        <f t="shared" si="8"/>
        <v>rokprognozy=2028 i lp=590</v>
      </c>
      <c r="U69" s="584" t="str">
        <f t="shared" si="8"/>
        <v>rokprognozy=2029 i lp=590</v>
      </c>
      <c r="V69" s="584" t="str">
        <f t="shared" si="8"/>
        <v>rokprognozy=2030 i lp=590</v>
      </c>
      <c r="W69" s="584" t="str">
        <f t="shared" si="8"/>
        <v>rokprognozy=2031 i lp=590</v>
      </c>
      <c r="X69" s="584" t="str">
        <f t="shared" si="8"/>
        <v>rokprognozy=2032 i lp=590</v>
      </c>
      <c r="Y69" s="584" t="str">
        <f t="shared" si="8"/>
        <v>rokprognozy=2033 i lp=590</v>
      </c>
      <c r="Z69" s="584" t="str">
        <f t="shared" si="8"/>
        <v>rokprognozy=2034 i lp=590</v>
      </c>
      <c r="AA69" s="584" t="str">
        <f t="shared" si="8"/>
        <v>rokprognozy=2035 i lp=590</v>
      </c>
      <c r="AB69" s="584" t="str">
        <f t="shared" si="8"/>
        <v>rokprognozy=2036 i lp=590</v>
      </c>
      <c r="AC69" s="584" t="str">
        <f t="shared" si="8"/>
        <v>rokprognozy=2037 i lp=590</v>
      </c>
      <c r="AD69" s="584" t="str">
        <f t="shared" si="12"/>
        <v>rokprognozy=2038 i lp=590</v>
      </c>
      <c r="AE69" s="584" t="str">
        <f t="shared" si="12"/>
        <v>rokprognozy=2039 i lp=590</v>
      </c>
      <c r="AF69" s="584" t="str">
        <f t="shared" si="12"/>
        <v>rokprognozy=2040 i lp=590</v>
      </c>
      <c r="AG69" s="584" t="str">
        <f t="shared" si="12"/>
        <v>rokprognozy=2041 i lp=590</v>
      </c>
      <c r="AH69" s="584" t="str">
        <f t="shared" si="12"/>
        <v>rokprognozy=2042 i lp=590</v>
      </c>
    </row>
    <row r="70" spans="1:34" ht="12.75">
      <c r="A70" s="583">
        <v>600</v>
      </c>
      <c r="B70" s="583">
        <v>11.3</v>
      </c>
      <c r="C70" s="584" t="s">
        <v>431</v>
      </c>
      <c r="D70" s="584" t="str">
        <f t="shared" si="3"/>
        <v>rokprognozy=2013 i lp=600</v>
      </c>
      <c r="E70" s="584" t="str">
        <f t="shared" si="13"/>
        <v>rokprognozy=2013 i lp=600</v>
      </c>
      <c r="F70" s="584" t="str">
        <f t="shared" si="13"/>
        <v>rokprognozy=2014 i lp=600</v>
      </c>
      <c r="G70" s="584" t="str">
        <f t="shared" si="13"/>
        <v>rokprognozy=2015 i lp=600</v>
      </c>
      <c r="H70" s="584" t="str">
        <f t="shared" si="13"/>
        <v>rokprognozy=2016 i lp=600</v>
      </c>
      <c r="I70" s="584" t="str">
        <f t="shared" si="13"/>
        <v>rokprognozy=2017 i lp=600</v>
      </c>
      <c r="J70" s="584" t="str">
        <f t="shared" si="13"/>
        <v>rokprognozy=2018 i lp=600</v>
      </c>
      <c r="K70" s="584" t="str">
        <f t="shared" si="13"/>
        <v>rokprognozy=2019 i lp=600</v>
      </c>
      <c r="L70" s="584" t="str">
        <f t="shared" si="13"/>
        <v>rokprognozy=2020 i lp=600</v>
      </c>
      <c r="M70" s="584" t="str">
        <f t="shared" si="13"/>
        <v>rokprognozy=2021 i lp=600</v>
      </c>
      <c r="N70" s="584" t="str">
        <f t="shared" si="8"/>
        <v>rokprognozy=2022 i lp=600</v>
      </c>
      <c r="O70" s="584" t="str">
        <f t="shared" si="8"/>
        <v>rokprognozy=2023 i lp=600</v>
      </c>
      <c r="P70" s="584" t="str">
        <f t="shared" si="8"/>
        <v>rokprognozy=2024 i lp=600</v>
      </c>
      <c r="Q70" s="584" t="str">
        <f t="shared" si="8"/>
        <v>rokprognozy=2025 i lp=600</v>
      </c>
      <c r="R70" s="584" t="str">
        <f t="shared" si="8"/>
        <v>rokprognozy=2026 i lp=600</v>
      </c>
      <c r="S70" s="584" t="str">
        <f t="shared" si="8"/>
        <v>rokprognozy=2027 i lp=600</v>
      </c>
      <c r="T70" s="584" t="str">
        <f t="shared" si="8"/>
        <v>rokprognozy=2028 i lp=600</v>
      </c>
      <c r="U70" s="584" t="str">
        <f t="shared" si="8"/>
        <v>rokprognozy=2029 i lp=600</v>
      </c>
      <c r="V70" s="584" t="str">
        <f t="shared" si="8"/>
        <v>rokprognozy=2030 i lp=600</v>
      </c>
      <c r="W70" s="584" t="str">
        <f t="shared" si="8"/>
        <v>rokprognozy=2031 i lp=600</v>
      </c>
      <c r="X70" s="584" t="str">
        <f t="shared" si="8"/>
        <v>rokprognozy=2032 i lp=600</v>
      </c>
      <c r="Y70" s="584" t="str">
        <f t="shared" si="8"/>
        <v>rokprognozy=2033 i lp=600</v>
      </c>
      <c r="Z70" s="584" t="str">
        <f t="shared" si="8"/>
        <v>rokprognozy=2034 i lp=600</v>
      </c>
      <c r="AA70" s="584" t="str">
        <f t="shared" si="8"/>
        <v>rokprognozy=2035 i lp=600</v>
      </c>
      <c r="AB70" s="584" t="str">
        <f t="shared" si="8"/>
        <v>rokprognozy=2036 i lp=600</v>
      </c>
      <c r="AC70" s="584" t="str">
        <f t="shared" si="8"/>
        <v>rokprognozy=2037 i lp=600</v>
      </c>
      <c r="AD70" s="584" t="str">
        <f t="shared" si="12"/>
        <v>rokprognozy=2038 i lp=600</v>
      </c>
      <c r="AE70" s="584" t="str">
        <f t="shared" si="12"/>
        <v>rokprognozy=2039 i lp=600</v>
      </c>
      <c r="AF70" s="584" t="str">
        <f t="shared" si="12"/>
        <v>rokprognozy=2040 i lp=600</v>
      </c>
      <c r="AG70" s="584" t="str">
        <f t="shared" si="12"/>
        <v>rokprognozy=2041 i lp=600</v>
      </c>
      <c r="AH70" s="584" t="str">
        <f t="shared" si="12"/>
        <v>rokprognozy=2042 i lp=600</v>
      </c>
    </row>
    <row r="71" spans="1:34" ht="12.75">
      <c r="A71" s="583">
        <v>610</v>
      </c>
      <c r="B71" s="583" t="s">
        <v>118</v>
      </c>
      <c r="C71" s="584" t="s">
        <v>432</v>
      </c>
      <c r="D71" s="584" t="str">
        <f t="shared" si="3"/>
        <v>rokprognozy=2013 i lp=610</v>
      </c>
      <c r="E71" s="584" t="str">
        <f t="shared" si="13"/>
        <v>rokprognozy=2013 i lp=610</v>
      </c>
      <c r="F71" s="584" t="str">
        <f t="shared" si="13"/>
        <v>rokprognozy=2014 i lp=610</v>
      </c>
      <c r="G71" s="584" t="str">
        <f t="shared" si="13"/>
        <v>rokprognozy=2015 i lp=610</v>
      </c>
      <c r="H71" s="584" t="str">
        <f t="shared" si="13"/>
        <v>rokprognozy=2016 i lp=610</v>
      </c>
      <c r="I71" s="584" t="str">
        <f t="shared" si="13"/>
        <v>rokprognozy=2017 i lp=610</v>
      </c>
      <c r="J71" s="584" t="str">
        <f t="shared" si="13"/>
        <v>rokprognozy=2018 i lp=610</v>
      </c>
      <c r="K71" s="584" t="str">
        <f t="shared" si="13"/>
        <v>rokprognozy=2019 i lp=610</v>
      </c>
      <c r="L71" s="584" t="str">
        <f t="shared" si="13"/>
        <v>rokprognozy=2020 i lp=610</v>
      </c>
      <c r="M71" s="584" t="str">
        <f t="shared" si="13"/>
        <v>rokprognozy=2021 i lp=610</v>
      </c>
      <c r="N71" s="584" t="str">
        <f t="shared" si="8"/>
        <v>rokprognozy=2022 i lp=610</v>
      </c>
      <c r="O71" s="584" t="str">
        <f t="shared" si="8"/>
        <v>rokprognozy=2023 i lp=610</v>
      </c>
      <c r="P71" s="584" t="str">
        <f t="shared" si="8"/>
        <v>rokprognozy=2024 i lp=610</v>
      </c>
      <c r="Q71" s="584" t="str">
        <f t="shared" si="8"/>
        <v>rokprognozy=2025 i lp=610</v>
      </c>
      <c r="R71" s="584" t="str">
        <f t="shared" si="8"/>
        <v>rokprognozy=2026 i lp=610</v>
      </c>
      <c r="S71" s="584" t="str">
        <f t="shared" si="8"/>
        <v>rokprognozy=2027 i lp=610</v>
      </c>
      <c r="T71" s="584" t="str">
        <f t="shared" si="8"/>
        <v>rokprognozy=2028 i lp=610</v>
      </c>
      <c r="U71" s="584" t="str">
        <f t="shared" si="8"/>
        <v>rokprognozy=2029 i lp=610</v>
      </c>
      <c r="V71" s="584" t="str">
        <f t="shared" si="8"/>
        <v>rokprognozy=2030 i lp=610</v>
      </c>
      <c r="W71" s="584" t="str">
        <f t="shared" si="8"/>
        <v>rokprognozy=2031 i lp=610</v>
      </c>
      <c r="X71" s="584" t="str">
        <f t="shared" si="8"/>
        <v>rokprognozy=2032 i lp=610</v>
      </c>
      <c r="Y71" s="584" t="str">
        <f t="shared" si="8"/>
        <v>rokprognozy=2033 i lp=610</v>
      </c>
      <c r="Z71" s="584" t="str">
        <f t="shared" si="8"/>
        <v>rokprognozy=2034 i lp=610</v>
      </c>
      <c r="AA71" s="584" t="str">
        <f t="shared" si="8"/>
        <v>rokprognozy=2035 i lp=610</v>
      </c>
      <c r="AB71" s="584" t="str">
        <f t="shared" si="8"/>
        <v>rokprognozy=2036 i lp=610</v>
      </c>
      <c r="AC71" s="584" t="str">
        <f t="shared" si="8"/>
        <v>rokprognozy=2037 i lp=610</v>
      </c>
      <c r="AD71" s="584" t="str">
        <f t="shared" si="12"/>
        <v>rokprognozy=2038 i lp=610</v>
      </c>
      <c r="AE71" s="584" t="str">
        <f t="shared" si="12"/>
        <v>rokprognozy=2039 i lp=610</v>
      </c>
      <c r="AF71" s="584" t="str">
        <f t="shared" si="12"/>
        <v>rokprognozy=2040 i lp=610</v>
      </c>
      <c r="AG71" s="584" t="str">
        <f t="shared" si="12"/>
        <v>rokprognozy=2041 i lp=610</v>
      </c>
      <c r="AH71" s="584" t="str">
        <f t="shared" si="12"/>
        <v>rokprognozy=2042 i lp=610</v>
      </c>
    </row>
    <row r="72" spans="1:34" ht="12.75">
      <c r="A72" s="583">
        <v>620</v>
      </c>
      <c r="B72" s="583" t="s">
        <v>120</v>
      </c>
      <c r="C72" s="584" t="s">
        <v>433</v>
      </c>
      <c r="D72" s="584" t="str">
        <f t="shared" si="3"/>
        <v>rokprognozy=2013 i lp=620</v>
      </c>
      <c r="E72" s="584" t="str">
        <f t="shared" si="13"/>
        <v>rokprognozy=2013 i lp=620</v>
      </c>
      <c r="F72" s="584" t="str">
        <f t="shared" si="13"/>
        <v>rokprognozy=2014 i lp=620</v>
      </c>
      <c r="G72" s="584" t="str">
        <f t="shared" si="13"/>
        <v>rokprognozy=2015 i lp=620</v>
      </c>
      <c r="H72" s="584" t="str">
        <f t="shared" si="13"/>
        <v>rokprognozy=2016 i lp=620</v>
      </c>
      <c r="I72" s="584" t="str">
        <f t="shared" si="13"/>
        <v>rokprognozy=2017 i lp=620</v>
      </c>
      <c r="J72" s="584" t="str">
        <f t="shared" si="13"/>
        <v>rokprognozy=2018 i lp=620</v>
      </c>
      <c r="K72" s="584" t="str">
        <f t="shared" si="13"/>
        <v>rokprognozy=2019 i lp=620</v>
      </c>
      <c r="L72" s="584" t="str">
        <f t="shared" si="13"/>
        <v>rokprognozy=2020 i lp=620</v>
      </c>
      <c r="M72" s="584" t="str">
        <f t="shared" si="13"/>
        <v>rokprognozy=2021 i lp=620</v>
      </c>
      <c r="N72" s="584" t="str">
        <f t="shared" si="13"/>
        <v>rokprognozy=2022 i lp=620</v>
      </c>
      <c r="O72" s="584" t="str">
        <f t="shared" si="13"/>
        <v>rokprognozy=2023 i lp=620</v>
      </c>
      <c r="P72" s="584" t="str">
        <f t="shared" si="13"/>
        <v>rokprognozy=2024 i lp=620</v>
      </c>
      <c r="Q72" s="584" t="str">
        <f t="shared" si="13"/>
        <v>rokprognozy=2025 i lp=620</v>
      </c>
      <c r="R72" s="584" t="str">
        <f t="shared" si="13"/>
        <v>rokprognozy=2026 i lp=620</v>
      </c>
      <c r="S72" s="584" t="str">
        <f t="shared" si="13"/>
        <v>rokprognozy=2027 i lp=620</v>
      </c>
      <c r="T72" s="584" t="str">
        <f t="shared" si="13"/>
        <v>rokprognozy=2028 i lp=620</v>
      </c>
      <c r="U72" s="584" t="str">
        <f aca="true" t="shared" si="14" ref="N72:AC87">+"rokprognozy="&amp;U$9&amp;" i lp="&amp;$A72</f>
        <v>rokprognozy=2029 i lp=620</v>
      </c>
      <c r="V72" s="584" t="str">
        <f t="shared" si="14"/>
        <v>rokprognozy=2030 i lp=620</v>
      </c>
      <c r="W72" s="584" t="str">
        <f t="shared" si="14"/>
        <v>rokprognozy=2031 i lp=620</v>
      </c>
      <c r="X72" s="584" t="str">
        <f t="shared" si="14"/>
        <v>rokprognozy=2032 i lp=620</v>
      </c>
      <c r="Y72" s="584" t="str">
        <f t="shared" si="14"/>
        <v>rokprognozy=2033 i lp=620</v>
      </c>
      <c r="Z72" s="584" t="str">
        <f t="shared" si="14"/>
        <v>rokprognozy=2034 i lp=620</v>
      </c>
      <c r="AA72" s="584" t="str">
        <f t="shared" si="14"/>
        <v>rokprognozy=2035 i lp=620</v>
      </c>
      <c r="AB72" s="584" t="str">
        <f t="shared" si="14"/>
        <v>rokprognozy=2036 i lp=620</v>
      </c>
      <c r="AC72" s="584" t="str">
        <f t="shared" si="14"/>
        <v>rokprognozy=2037 i lp=620</v>
      </c>
      <c r="AD72" s="584" t="str">
        <f t="shared" si="12"/>
        <v>rokprognozy=2038 i lp=620</v>
      </c>
      <c r="AE72" s="584" t="str">
        <f t="shared" si="12"/>
        <v>rokprognozy=2039 i lp=620</v>
      </c>
      <c r="AF72" s="584" t="str">
        <f t="shared" si="12"/>
        <v>rokprognozy=2040 i lp=620</v>
      </c>
      <c r="AG72" s="584" t="str">
        <f t="shared" si="12"/>
        <v>rokprognozy=2041 i lp=620</v>
      </c>
      <c r="AH72" s="584" t="str">
        <f t="shared" si="12"/>
        <v>rokprognozy=2042 i lp=620</v>
      </c>
    </row>
    <row r="73" spans="1:34" ht="12.75">
      <c r="A73" s="583">
        <v>630</v>
      </c>
      <c r="B73" s="583">
        <v>11.4</v>
      </c>
      <c r="C73" s="584" t="s">
        <v>434</v>
      </c>
      <c r="D73" s="584" t="str">
        <f t="shared" si="3"/>
        <v>rokprognozy=2013 i lp=630</v>
      </c>
      <c r="E73" s="584" t="str">
        <f t="shared" si="13"/>
        <v>rokprognozy=2013 i lp=630</v>
      </c>
      <c r="F73" s="584" t="str">
        <f t="shared" si="13"/>
        <v>rokprognozy=2014 i lp=630</v>
      </c>
      <c r="G73" s="584" t="str">
        <f t="shared" si="13"/>
        <v>rokprognozy=2015 i lp=630</v>
      </c>
      <c r="H73" s="584" t="str">
        <f t="shared" si="13"/>
        <v>rokprognozy=2016 i lp=630</v>
      </c>
      <c r="I73" s="584" t="str">
        <f t="shared" si="13"/>
        <v>rokprognozy=2017 i lp=630</v>
      </c>
      <c r="J73" s="584" t="str">
        <f t="shared" si="13"/>
        <v>rokprognozy=2018 i lp=630</v>
      </c>
      <c r="K73" s="584" t="str">
        <f t="shared" si="13"/>
        <v>rokprognozy=2019 i lp=630</v>
      </c>
      <c r="L73" s="584" t="str">
        <f t="shared" si="13"/>
        <v>rokprognozy=2020 i lp=630</v>
      </c>
      <c r="M73" s="584" t="str">
        <f t="shared" si="13"/>
        <v>rokprognozy=2021 i lp=630</v>
      </c>
      <c r="N73" s="584" t="str">
        <f t="shared" si="14"/>
        <v>rokprognozy=2022 i lp=630</v>
      </c>
      <c r="O73" s="584" t="str">
        <f t="shared" si="14"/>
        <v>rokprognozy=2023 i lp=630</v>
      </c>
      <c r="P73" s="584" t="str">
        <f t="shared" si="14"/>
        <v>rokprognozy=2024 i lp=630</v>
      </c>
      <c r="Q73" s="584" t="str">
        <f t="shared" si="14"/>
        <v>rokprognozy=2025 i lp=630</v>
      </c>
      <c r="R73" s="584" t="str">
        <f t="shared" si="14"/>
        <v>rokprognozy=2026 i lp=630</v>
      </c>
      <c r="S73" s="584" t="str">
        <f t="shared" si="14"/>
        <v>rokprognozy=2027 i lp=630</v>
      </c>
      <c r="T73" s="584" t="str">
        <f t="shared" si="14"/>
        <v>rokprognozy=2028 i lp=630</v>
      </c>
      <c r="U73" s="584" t="str">
        <f t="shared" si="14"/>
        <v>rokprognozy=2029 i lp=630</v>
      </c>
      <c r="V73" s="584" t="str">
        <f t="shared" si="14"/>
        <v>rokprognozy=2030 i lp=630</v>
      </c>
      <c r="W73" s="584" t="str">
        <f t="shared" si="14"/>
        <v>rokprognozy=2031 i lp=630</v>
      </c>
      <c r="X73" s="584" t="str">
        <f t="shared" si="14"/>
        <v>rokprognozy=2032 i lp=630</v>
      </c>
      <c r="Y73" s="584" t="str">
        <f t="shared" si="14"/>
        <v>rokprognozy=2033 i lp=630</v>
      </c>
      <c r="Z73" s="584" t="str">
        <f t="shared" si="14"/>
        <v>rokprognozy=2034 i lp=630</v>
      </c>
      <c r="AA73" s="584" t="str">
        <f t="shared" si="14"/>
        <v>rokprognozy=2035 i lp=630</v>
      </c>
      <c r="AB73" s="584" t="str">
        <f t="shared" si="14"/>
        <v>rokprognozy=2036 i lp=630</v>
      </c>
      <c r="AC73" s="584" t="str">
        <f t="shared" si="14"/>
        <v>rokprognozy=2037 i lp=630</v>
      </c>
      <c r="AD73" s="584" t="str">
        <f t="shared" si="12"/>
        <v>rokprognozy=2038 i lp=630</v>
      </c>
      <c r="AE73" s="584" t="str">
        <f t="shared" si="12"/>
        <v>rokprognozy=2039 i lp=630</v>
      </c>
      <c r="AF73" s="584" t="str">
        <f t="shared" si="12"/>
        <v>rokprognozy=2040 i lp=630</v>
      </c>
      <c r="AG73" s="584" t="str">
        <f t="shared" si="12"/>
        <v>rokprognozy=2041 i lp=630</v>
      </c>
      <c r="AH73" s="584" t="str">
        <f t="shared" si="12"/>
        <v>rokprognozy=2042 i lp=630</v>
      </c>
    </row>
    <row r="74" spans="1:34" ht="12.75">
      <c r="A74" s="583">
        <v>640</v>
      </c>
      <c r="B74" s="583">
        <v>11.5</v>
      </c>
      <c r="C74" s="584" t="s">
        <v>435</v>
      </c>
      <c r="D74" s="584" t="str">
        <f t="shared" si="3"/>
        <v>rokprognozy=2013 i lp=640</v>
      </c>
      <c r="E74" s="584" t="str">
        <f t="shared" si="13"/>
        <v>rokprognozy=2013 i lp=640</v>
      </c>
      <c r="F74" s="584" t="str">
        <f t="shared" si="13"/>
        <v>rokprognozy=2014 i lp=640</v>
      </c>
      <c r="G74" s="584" t="str">
        <f t="shared" si="13"/>
        <v>rokprognozy=2015 i lp=640</v>
      </c>
      <c r="H74" s="584" t="str">
        <f t="shared" si="13"/>
        <v>rokprognozy=2016 i lp=640</v>
      </c>
      <c r="I74" s="584" t="str">
        <f t="shared" si="13"/>
        <v>rokprognozy=2017 i lp=640</v>
      </c>
      <c r="J74" s="584" t="str">
        <f t="shared" si="13"/>
        <v>rokprognozy=2018 i lp=640</v>
      </c>
      <c r="K74" s="584" t="str">
        <f t="shared" si="13"/>
        <v>rokprognozy=2019 i lp=640</v>
      </c>
      <c r="L74" s="584" t="str">
        <f t="shared" si="13"/>
        <v>rokprognozy=2020 i lp=640</v>
      </c>
      <c r="M74" s="584" t="str">
        <f t="shared" si="13"/>
        <v>rokprognozy=2021 i lp=640</v>
      </c>
      <c r="N74" s="584" t="str">
        <f t="shared" si="14"/>
        <v>rokprognozy=2022 i lp=640</v>
      </c>
      <c r="O74" s="584" t="str">
        <f t="shared" si="14"/>
        <v>rokprognozy=2023 i lp=640</v>
      </c>
      <c r="P74" s="584" t="str">
        <f t="shared" si="14"/>
        <v>rokprognozy=2024 i lp=640</v>
      </c>
      <c r="Q74" s="584" t="str">
        <f t="shared" si="14"/>
        <v>rokprognozy=2025 i lp=640</v>
      </c>
      <c r="R74" s="584" t="str">
        <f t="shared" si="14"/>
        <v>rokprognozy=2026 i lp=640</v>
      </c>
      <c r="S74" s="584" t="str">
        <f t="shared" si="14"/>
        <v>rokprognozy=2027 i lp=640</v>
      </c>
      <c r="T74" s="584" t="str">
        <f t="shared" si="14"/>
        <v>rokprognozy=2028 i lp=640</v>
      </c>
      <c r="U74" s="584" t="str">
        <f t="shared" si="14"/>
        <v>rokprognozy=2029 i lp=640</v>
      </c>
      <c r="V74" s="584" t="str">
        <f t="shared" si="14"/>
        <v>rokprognozy=2030 i lp=640</v>
      </c>
      <c r="W74" s="584" t="str">
        <f t="shared" si="14"/>
        <v>rokprognozy=2031 i lp=640</v>
      </c>
      <c r="X74" s="584" t="str">
        <f t="shared" si="14"/>
        <v>rokprognozy=2032 i lp=640</v>
      </c>
      <c r="Y74" s="584" t="str">
        <f t="shared" si="14"/>
        <v>rokprognozy=2033 i lp=640</v>
      </c>
      <c r="Z74" s="584" t="str">
        <f t="shared" si="14"/>
        <v>rokprognozy=2034 i lp=640</v>
      </c>
      <c r="AA74" s="584" t="str">
        <f t="shared" si="14"/>
        <v>rokprognozy=2035 i lp=640</v>
      </c>
      <c r="AB74" s="584" t="str">
        <f t="shared" si="14"/>
        <v>rokprognozy=2036 i lp=640</v>
      </c>
      <c r="AC74" s="584" t="str">
        <f t="shared" si="14"/>
        <v>rokprognozy=2037 i lp=640</v>
      </c>
      <c r="AD74" s="584" t="str">
        <f t="shared" si="12"/>
        <v>rokprognozy=2038 i lp=640</v>
      </c>
      <c r="AE74" s="584" t="str">
        <f t="shared" si="12"/>
        <v>rokprognozy=2039 i lp=640</v>
      </c>
      <c r="AF74" s="584" t="str">
        <f t="shared" si="12"/>
        <v>rokprognozy=2040 i lp=640</v>
      </c>
      <c r="AG74" s="584" t="str">
        <f t="shared" si="12"/>
        <v>rokprognozy=2041 i lp=640</v>
      </c>
      <c r="AH74" s="584" t="str">
        <f t="shared" si="12"/>
        <v>rokprognozy=2042 i lp=640</v>
      </c>
    </row>
    <row r="75" spans="1:34" ht="12.75">
      <c r="A75" s="583">
        <v>650</v>
      </c>
      <c r="B75" s="583">
        <v>11.6</v>
      </c>
      <c r="C75" s="584" t="s">
        <v>436</v>
      </c>
      <c r="D75" s="584" t="str">
        <f t="shared" si="3"/>
        <v>rokprognozy=2013 i lp=650</v>
      </c>
      <c r="E75" s="584" t="str">
        <f t="shared" si="13"/>
        <v>rokprognozy=2013 i lp=650</v>
      </c>
      <c r="F75" s="584" t="str">
        <f t="shared" si="13"/>
        <v>rokprognozy=2014 i lp=650</v>
      </c>
      <c r="G75" s="584" t="str">
        <f t="shared" si="13"/>
        <v>rokprognozy=2015 i lp=650</v>
      </c>
      <c r="H75" s="584" t="str">
        <f t="shared" si="13"/>
        <v>rokprognozy=2016 i lp=650</v>
      </c>
      <c r="I75" s="584" t="str">
        <f t="shared" si="13"/>
        <v>rokprognozy=2017 i lp=650</v>
      </c>
      <c r="J75" s="584" t="str">
        <f t="shared" si="13"/>
        <v>rokprognozy=2018 i lp=650</v>
      </c>
      <c r="K75" s="584" t="str">
        <f t="shared" si="13"/>
        <v>rokprognozy=2019 i lp=650</v>
      </c>
      <c r="L75" s="584" t="str">
        <f t="shared" si="13"/>
        <v>rokprognozy=2020 i lp=650</v>
      </c>
      <c r="M75" s="584" t="str">
        <f t="shared" si="13"/>
        <v>rokprognozy=2021 i lp=650</v>
      </c>
      <c r="N75" s="584" t="str">
        <f t="shared" si="14"/>
        <v>rokprognozy=2022 i lp=650</v>
      </c>
      <c r="O75" s="584" t="str">
        <f t="shared" si="14"/>
        <v>rokprognozy=2023 i lp=650</v>
      </c>
      <c r="P75" s="584" t="str">
        <f t="shared" si="14"/>
        <v>rokprognozy=2024 i lp=650</v>
      </c>
      <c r="Q75" s="584" t="str">
        <f t="shared" si="14"/>
        <v>rokprognozy=2025 i lp=650</v>
      </c>
      <c r="R75" s="584" t="str">
        <f t="shared" si="14"/>
        <v>rokprognozy=2026 i lp=650</v>
      </c>
      <c r="S75" s="584" t="str">
        <f t="shared" si="14"/>
        <v>rokprognozy=2027 i lp=650</v>
      </c>
      <c r="T75" s="584" t="str">
        <f t="shared" si="14"/>
        <v>rokprognozy=2028 i lp=650</v>
      </c>
      <c r="U75" s="584" t="str">
        <f t="shared" si="14"/>
        <v>rokprognozy=2029 i lp=650</v>
      </c>
      <c r="V75" s="584" t="str">
        <f t="shared" si="14"/>
        <v>rokprognozy=2030 i lp=650</v>
      </c>
      <c r="W75" s="584" t="str">
        <f t="shared" si="14"/>
        <v>rokprognozy=2031 i lp=650</v>
      </c>
      <c r="X75" s="584" t="str">
        <f t="shared" si="14"/>
        <v>rokprognozy=2032 i lp=650</v>
      </c>
      <c r="Y75" s="584" t="str">
        <f t="shared" si="14"/>
        <v>rokprognozy=2033 i lp=650</v>
      </c>
      <c r="Z75" s="584" t="str">
        <f t="shared" si="14"/>
        <v>rokprognozy=2034 i lp=650</v>
      </c>
      <c r="AA75" s="584" t="str">
        <f t="shared" si="14"/>
        <v>rokprognozy=2035 i lp=650</v>
      </c>
      <c r="AB75" s="584" t="str">
        <f t="shared" si="14"/>
        <v>rokprognozy=2036 i lp=650</v>
      </c>
      <c r="AC75" s="584" t="str">
        <f t="shared" si="14"/>
        <v>rokprognozy=2037 i lp=650</v>
      </c>
      <c r="AD75" s="584" t="str">
        <f t="shared" si="12"/>
        <v>rokprognozy=2038 i lp=650</v>
      </c>
      <c r="AE75" s="584" t="str">
        <f t="shared" si="12"/>
        <v>rokprognozy=2039 i lp=650</v>
      </c>
      <c r="AF75" s="584" t="str">
        <f t="shared" si="12"/>
        <v>rokprognozy=2040 i lp=650</v>
      </c>
      <c r="AG75" s="584" t="str">
        <f t="shared" si="12"/>
        <v>rokprognozy=2041 i lp=650</v>
      </c>
      <c r="AH75" s="584" t="str">
        <f t="shared" si="12"/>
        <v>rokprognozy=2042 i lp=650</v>
      </c>
    </row>
    <row r="76" spans="1:34" ht="12.75">
      <c r="A76" s="583">
        <v>660</v>
      </c>
      <c r="B76" s="583">
        <v>12</v>
      </c>
      <c r="C76" s="584" t="s">
        <v>128</v>
      </c>
      <c r="D76" s="584" t="str">
        <f aca="true" t="shared" si="15" ref="D76:D104">+"rokprognozy="&amp;D$9&amp;" i lp="&amp;$A76</f>
        <v>rokprognozy=2013 i lp=660</v>
      </c>
      <c r="E76" s="584" t="str">
        <f t="shared" si="13"/>
        <v>rokprognozy=2013 i lp=660</v>
      </c>
      <c r="F76" s="584" t="str">
        <f t="shared" si="13"/>
        <v>rokprognozy=2014 i lp=660</v>
      </c>
      <c r="G76" s="584" t="str">
        <f t="shared" si="13"/>
        <v>rokprognozy=2015 i lp=660</v>
      </c>
      <c r="H76" s="584" t="str">
        <f t="shared" si="13"/>
        <v>rokprognozy=2016 i lp=660</v>
      </c>
      <c r="I76" s="584" t="str">
        <f t="shared" si="13"/>
        <v>rokprognozy=2017 i lp=660</v>
      </c>
      <c r="J76" s="584" t="str">
        <f t="shared" si="13"/>
        <v>rokprognozy=2018 i lp=660</v>
      </c>
      <c r="K76" s="584" t="str">
        <f t="shared" si="13"/>
        <v>rokprognozy=2019 i lp=660</v>
      </c>
      <c r="L76" s="584" t="str">
        <f t="shared" si="13"/>
        <v>rokprognozy=2020 i lp=660</v>
      </c>
      <c r="M76" s="584" t="str">
        <f t="shared" si="13"/>
        <v>rokprognozy=2021 i lp=660</v>
      </c>
      <c r="N76" s="584" t="str">
        <f t="shared" si="14"/>
        <v>rokprognozy=2022 i lp=660</v>
      </c>
      <c r="O76" s="584" t="str">
        <f t="shared" si="14"/>
        <v>rokprognozy=2023 i lp=660</v>
      </c>
      <c r="P76" s="584" t="str">
        <f t="shared" si="14"/>
        <v>rokprognozy=2024 i lp=660</v>
      </c>
      <c r="Q76" s="584" t="str">
        <f t="shared" si="14"/>
        <v>rokprognozy=2025 i lp=660</v>
      </c>
      <c r="R76" s="584" t="str">
        <f t="shared" si="14"/>
        <v>rokprognozy=2026 i lp=660</v>
      </c>
      <c r="S76" s="584" t="str">
        <f t="shared" si="14"/>
        <v>rokprognozy=2027 i lp=660</v>
      </c>
      <c r="T76" s="584" t="str">
        <f t="shared" si="14"/>
        <v>rokprognozy=2028 i lp=660</v>
      </c>
      <c r="U76" s="584" t="str">
        <f t="shared" si="14"/>
        <v>rokprognozy=2029 i lp=660</v>
      </c>
      <c r="V76" s="584" t="str">
        <f t="shared" si="14"/>
        <v>rokprognozy=2030 i lp=660</v>
      </c>
      <c r="W76" s="584" t="str">
        <f t="shared" si="14"/>
        <v>rokprognozy=2031 i lp=660</v>
      </c>
      <c r="X76" s="584" t="str">
        <f t="shared" si="14"/>
        <v>rokprognozy=2032 i lp=660</v>
      </c>
      <c r="Y76" s="584" t="str">
        <f t="shared" si="14"/>
        <v>rokprognozy=2033 i lp=660</v>
      </c>
      <c r="Z76" s="584" t="str">
        <f t="shared" si="14"/>
        <v>rokprognozy=2034 i lp=660</v>
      </c>
      <c r="AA76" s="584" t="str">
        <f t="shared" si="14"/>
        <v>rokprognozy=2035 i lp=660</v>
      </c>
      <c r="AB76" s="584" t="str">
        <f t="shared" si="14"/>
        <v>rokprognozy=2036 i lp=660</v>
      </c>
      <c r="AC76" s="584" t="str">
        <f t="shared" si="14"/>
        <v>rokprognozy=2037 i lp=660</v>
      </c>
      <c r="AD76" s="584" t="str">
        <f aca="true" t="shared" si="16" ref="AD76:AH91">+"rokprognozy="&amp;AD$9&amp;" i lp="&amp;$A76</f>
        <v>rokprognozy=2038 i lp=660</v>
      </c>
      <c r="AE76" s="584" t="str">
        <f t="shared" si="16"/>
        <v>rokprognozy=2039 i lp=660</v>
      </c>
      <c r="AF76" s="584" t="str">
        <f t="shared" si="16"/>
        <v>rokprognozy=2040 i lp=660</v>
      </c>
      <c r="AG76" s="584" t="str">
        <f t="shared" si="16"/>
        <v>rokprognozy=2041 i lp=660</v>
      </c>
      <c r="AH76" s="584" t="str">
        <f t="shared" si="16"/>
        <v>rokprognozy=2042 i lp=660</v>
      </c>
    </row>
    <row r="77" spans="1:34" ht="12.75">
      <c r="A77" s="583">
        <v>670</v>
      </c>
      <c r="B77" s="583">
        <v>12.1</v>
      </c>
      <c r="C77" s="584" t="s">
        <v>437</v>
      </c>
      <c r="D77" s="584" t="str">
        <f t="shared" si="15"/>
        <v>rokprognozy=2013 i lp=670</v>
      </c>
      <c r="E77" s="584" t="str">
        <f t="shared" si="13"/>
        <v>rokprognozy=2013 i lp=670</v>
      </c>
      <c r="F77" s="584" t="str">
        <f t="shared" si="13"/>
        <v>rokprognozy=2014 i lp=670</v>
      </c>
      <c r="G77" s="584" t="str">
        <f t="shared" si="13"/>
        <v>rokprognozy=2015 i lp=670</v>
      </c>
      <c r="H77" s="584" t="str">
        <f t="shared" si="13"/>
        <v>rokprognozy=2016 i lp=670</v>
      </c>
      <c r="I77" s="584" t="str">
        <f t="shared" si="13"/>
        <v>rokprognozy=2017 i lp=670</v>
      </c>
      <c r="J77" s="584" t="str">
        <f t="shared" si="13"/>
        <v>rokprognozy=2018 i lp=670</v>
      </c>
      <c r="K77" s="584" t="str">
        <f t="shared" si="13"/>
        <v>rokprognozy=2019 i lp=670</v>
      </c>
      <c r="L77" s="584" t="str">
        <f t="shared" si="13"/>
        <v>rokprognozy=2020 i lp=670</v>
      </c>
      <c r="M77" s="584" t="str">
        <f t="shared" si="13"/>
        <v>rokprognozy=2021 i lp=670</v>
      </c>
      <c r="N77" s="584" t="str">
        <f t="shared" si="14"/>
        <v>rokprognozy=2022 i lp=670</v>
      </c>
      <c r="O77" s="584" t="str">
        <f t="shared" si="14"/>
        <v>rokprognozy=2023 i lp=670</v>
      </c>
      <c r="P77" s="584" t="str">
        <f t="shared" si="14"/>
        <v>rokprognozy=2024 i lp=670</v>
      </c>
      <c r="Q77" s="584" t="str">
        <f t="shared" si="14"/>
        <v>rokprognozy=2025 i lp=670</v>
      </c>
      <c r="R77" s="584" t="str">
        <f t="shared" si="14"/>
        <v>rokprognozy=2026 i lp=670</v>
      </c>
      <c r="S77" s="584" t="str">
        <f t="shared" si="14"/>
        <v>rokprognozy=2027 i lp=670</v>
      </c>
      <c r="T77" s="584" t="str">
        <f t="shared" si="14"/>
        <v>rokprognozy=2028 i lp=670</v>
      </c>
      <c r="U77" s="584" t="str">
        <f t="shared" si="14"/>
        <v>rokprognozy=2029 i lp=670</v>
      </c>
      <c r="V77" s="584" t="str">
        <f t="shared" si="14"/>
        <v>rokprognozy=2030 i lp=670</v>
      </c>
      <c r="W77" s="584" t="str">
        <f t="shared" si="14"/>
        <v>rokprognozy=2031 i lp=670</v>
      </c>
      <c r="X77" s="584" t="str">
        <f t="shared" si="14"/>
        <v>rokprognozy=2032 i lp=670</v>
      </c>
      <c r="Y77" s="584" t="str">
        <f t="shared" si="14"/>
        <v>rokprognozy=2033 i lp=670</v>
      </c>
      <c r="Z77" s="584" t="str">
        <f t="shared" si="14"/>
        <v>rokprognozy=2034 i lp=670</v>
      </c>
      <c r="AA77" s="584" t="str">
        <f t="shared" si="14"/>
        <v>rokprognozy=2035 i lp=670</v>
      </c>
      <c r="AB77" s="584" t="str">
        <f t="shared" si="14"/>
        <v>rokprognozy=2036 i lp=670</v>
      </c>
      <c r="AC77" s="584" t="str">
        <f t="shared" si="14"/>
        <v>rokprognozy=2037 i lp=670</v>
      </c>
      <c r="AD77" s="584" t="str">
        <f t="shared" si="16"/>
        <v>rokprognozy=2038 i lp=670</v>
      </c>
      <c r="AE77" s="584" t="str">
        <f t="shared" si="16"/>
        <v>rokprognozy=2039 i lp=670</v>
      </c>
      <c r="AF77" s="584" t="str">
        <f t="shared" si="16"/>
        <v>rokprognozy=2040 i lp=670</v>
      </c>
      <c r="AG77" s="584" t="str">
        <f t="shared" si="16"/>
        <v>rokprognozy=2041 i lp=670</v>
      </c>
      <c r="AH77" s="584" t="str">
        <f t="shared" si="16"/>
        <v>rokprognozy=2042 i lp=670</v>
      </c>
    </row>
    <row r="78" spans="1:34" ht="12.75">
      <c r="A78" s="583">
        <v>680</v>
      </c>
      <c r="B78" s="583" t="s">
        <v>131</v>
      </c>
      <c r="C78" s="584" t="s">
        <v>438</v>
      </c>
      <c r="D78" s="584" t="str">
        <f t="shared" si="15"/>
        <v>rokprognozy=2013 i lp=680</v>
      </c>
      <c r="E78" s="584" t="str">
        <f t="shared" si="13"/>
        <v>rokprognozy=2013 i lp=680</v>
      </c>
      <c r="F78" s="584" t="str">
        <f t="shared" si="13"/>
        <v>rokprognozy=2014 i lp=680</v>
      </c>
      <c r="G78" s="584" t="str">
        <f t="shared" si="13"/>
        <v>rokprognozy=2015 i lp=680</v>
      </c>
      <c r="H78" s="584" t="str">
        <f t="shared" si="13"/>
        <v>rokprognozy=2016 i lp=680</v>
      </c>
      <c r="I78" s="584" t="str">
        <f t="shared" si="13"/>
        <v>rokprognozy=2017 i lp=680</v>
      </c>
      <c r="J78" s="584" t="str">
        <f t="shared" si="13"/>
        <v>rokprognozy=2018 i lp=680</v>
      </c>
      <c r="K78" s="584" t="str">
        <f t="shared" si="13"/>
        <v>rokprognozy=2019 i lp=680</v>
      </c>
      <c r="L78" s="584" t="str">
        <f t="shared" si="13"/>
        <v>rokprognozy=2020 i lp=680</v>
      </c>
      <c r="M78" s="584" t="str">
        <f t="shared" si="13"/>
        <v>rokprognozy=2021 i lp=680</v>
      </c>
      <c r="N78" s="584" t="str">
        <f t="shared" si="14"/>
        <v>rokprognozy=2022 i lp=680</v>
      </c>
      <c r="O78" s="584" t="str">
        <f t="shared" si="14"/>
        <v>rokprognozy=2023 i lp=680</v>
      </c>
      <c r="P78" s="584" t="str">
        <f t="shared" si="14"/>
        <v>rokprognozy=2024 i lp=680</v>
      </c>
      <c r="Q78" s="584" t="str">
        <f t="shared" si="14"/>
        <v>rokprognozy=2025 i lp=680</v>
      </c>
      <c r="R78" s="584" t="str">
        <f t="shared" si="14"/>
        <v>rokprognozy=2026 i lp=680</v>
      </c>
      <c r="S78" s="584" t="str">
        <f t="shared" si="14"/>
        <v>rokprognozy=2027 i lp=680</v>
      </c>
      <c r="T78" s="584" t="str">
        <f t="shared" si="14"/>
        <v>rokprognozy=2028 i lp=680</v>
      </c>
      <c r="U78" s="584" t="str">
        <f t="shared" si="14"/>
        <v>rokprognozy=2029 i lp=680</v>
      </c>
      <c r="V78" s="584" t="str">
        <f t="shared" si="14"/>
        <v>rokprognozy=2030 i lp=680</v>
      </c>
      <c r="W78" s="584" t="str">
        <f t="shared" si="14"/>
        <v>rokprognozy=2031 i lp=680</v>
      </c>
      <c r="X78" s="584" t="str">
        <f t="shared" si="14"/>
        <v>rokprognozy=2032 i lp=680</v>
      </c>
      <c r="Y78" s="584" t="str">
        <f t="shared" si="14"/>
        <v>rokprognozy=2033 i lp=680</v>
      </c>
      <c r="Z78" s="584" t="str">
        <f t="shared" si="14"/>
        <v>rokprognozy=2034 i lp=680</v>
      </c>
      <c r="AA78" s="584" t="str">
        <f t="shared" si="14"/>
        <v>rokprognozy=2035 i lp=680</v>
      </c>
      <c r="AB78" s="584" t="str">
        <f t="shared" si="14"/>
        <v>rokprognozy=2036 i lp=680</v>
      </c>
      <c r="AC78" s="584" t="str">
        <f t="shared" si="14"/>
        <v>rokprognozy=2037 i lp=680</v>
      </c>
      <c r="AD78" s="584" t="str">
        <f t="shared" si="16"/>
        <v>rokprognozy=2038 i lp=680</v>
      </c>
      <c r="AE78" s="584" t="str">
        <f t="shared" si="16"/>
        <v>rokprognozy=2039 i lp=680</v>
      </c>
      <c r="AF78" s="584" t="str">
        <f t="shared" si="16"/>
        <v>rokprognozy=2040 i lp=680</v>
      </c>
      <c r="AG78" s="584" t="str">
        <f t="shared" si="16"/>
        <v>rokprognozy=2041 i lp=680</v>
      </c>
      <c r="AH78" s="584" t="str">
        <f t="shared" si="16"/>
        <v>rokprognozy=2042 i lp=680</v>
      </c>
    </row>
    <row r="79" spans="1:34" ht="12.75">
      <c r="A79" s="583">
        <v>690</v>
      </c>
      <c r="B79" s="583" t="s">
        <v>133</v>
      </c>
      <c r="C79" s="584" t="s">
        <v>439</v>
      </c>
      <c r="D79" s="584" t="str">
        <f t="shared" si="15"/>
        <v>rokprognozy=2013 i lp=690</v>
      </c>
      <c r="E79" s="584" t="str">
        <f t="shared" si="13"/>
        <v>rokprognozy=2013 i lp=690</v>
      </c>
      <c r="F79" s="584" t="str">
        <f t="shared" si="13"/>
        <v>rokprognozy=2014 i lp=690</v>
      </c>
      <c r="G79" s="584" t="str">
        <f t="shared" si="13"/>
        <v>rokprognozy=2015 i lp=690</v>
      </c>
      <c r="H79" s="584" t="str">
        <f t="shared" si="13"/>
        <v>rokprognozy=2016 i lp=690</v>
      </c>
      <c r="I79" s="584" t="str">
        <f t="shared" si="13"/>
        <v>rokprognozy=2017 i lp=690</v>
      </c>
      <c r="J79" s="584" t="str">
        <f t="shared" si="13"/>
        <v>rokprognozy=2018 i lp=690</v>
      </c>
      <c r="K79" s="584" t="str">
        <f t="shared" si="13"/>
        <v>rokprognozy=2019 i lp=690</v>
      </c>
      <c r="L79" s="584" t="str">
        <f t="shared" si="13"/>
        <v>rokprognozy=2020 i lp=690</v>
      </c>
      <c r="M79" s="584" t="str">
        <f t="shared" si="13"/>
        <v>rokprognozy=2021 i lp=690</v>
      </c>
      <c r="N79" s="584" t="str">
        <f t="shared" si="14"/>
        <v>rokprognozy=2022 i lp=690</v>
      </c>
      <c r="O79" s="584" t="str">
        <f t="shared" si="14"/>
        <v>rokprognozy=2023 i lp=690</v>
      </c>
      <c r="P79" s="584" t="str">
        <f t="shared" si="14"/>
        <v>rokprognozy=2024 i lp=690</v>
      </c>
      <c r="Q79" s="584" t="str">
        <f t="shared" si="14"/>
        <v>rokprognozy=2025 i lp=690</v>
      </c>
      <c r="R79" s="584" t="str">
        <f t="shared" si="14"/>
        <v>rokprognozy=2026 i lp=690</v>
      </c>
      <c r="S79" s="584" t="str">
        <f t="shared" si="14"/>
        <v>rokprognozy=2027 i lp=690</v>
      </c>
      <c r="T79" s="584" t="str">
        <f t="shared" si="14"/>
        <v>rokprognozy=2028 i lp=690</v>
      </c>
      <c r="U79" s="584" t="str">
        <f t="shared" si="14"/>
        <v>rokprognozy=2029 i lp=690</v>
      </c>
      <c r="V79" s="584" t="str">
        <f t="shared" si="14"/>
        <v>rokprognozy=2030 i lp=690</v>
      </c>
      <c r="W79" s="584" t="str">
        <f t="shared" si="14"/>
        <v>rokprognozy=2031 i lp=690</v>
      </c>
      <c r="X79" s="584" t="str">
        <f t="shared" si="14"/>
        <v>rokprognozy=2032 i lp=690</v>
      </c>
      <c r="Y79" s="584" t="str">
        <f t="shared" si="14"/>
        <v>rokprognozy=2033 i lp=690</v>
      </c>
      <c r="Z79" s="584" t="str">
        <f t="shared" si="14"/>
        <v>rokprognozy=2034 i lp=690</v>
      </c>
      <c r="AA79" s="584" t="str">
        <f t="shared" si="14"/>
        <v>rokprognozy=2035 i lp=690</v>
      </c>
      <c r="AB79" s="584" t="str">
        <f t="shared" si="14"/>
        <v>rokprognozy=2036 i lp=690</v>
      </c>
      <c r="AC79" s="584" t="str">
        <f t="shared" si="14"/>
        <v>rokprognozy=2037 i lp=690</v>
      </c>
      <c r="AD79" s="584" t="str">
        <f t="shared" si="16"/>
        <v>rokprognozy=2038 i lp=690</v>
      </c>
      <c r="AE79" s="584" t="str">
        <f t="shared" si="16"/>
        <v>rokprognozy=2039 i lp=690</v>
      </c>
      <c r="AF79" s="584" t="str">
        <f t="shared" si="16"/>
        <v>rokprognozy=2040 i lp=690</v>
      </c>
      <c r="AG79" s="584" t="str">
        <f t="shared" si="16"/>
        <v>rokprognozy=2041 i lp=690</v>
      </c>
      <c r="AH79" s="584" t="str">
        <f t="shared" si="16"/>
        <v>rokprognozy=2042 i lp=690</v>
      </c>
    </row>
    <row r="80" spans="1:34" ht="12.75">
      <c r="A80" s="583">
        <v>700</v>
      </c>
      <c r="B80" s="583">
        <v>12.2</v>
      </c>
      <c r="C80" s="584" t="s">
        <v>440</v>
      </c>
      <c r="D80" s="584" t="str">
        <f t="shared" si="15"/>
        <v>rokprognozy=2013 i lp=700</v>
      </c>
      <c r="E80" s="584" t="str">
        <f t="shared" si="13"/>
        <v>rokprognozy=2013 i lp=700</v>
      </c>
      <c r="F80" s="584" t="str">
        <f t="shared" si="13"/>
        <v>rokprognozy=2014 i lp=700</v>
      </c>
      <c r="G80" s="584" t="str">
        <f t="shared" si="13"/>
        <v>rokprognozy=2015 i lp=700</v>
      </c>
      <c r="H80" s="584" t="str">
        <f t="shared" si="13"/>
        <v>rokprognozy=2016 i lp=700</v>
      </c>
      <c r="I80" s="584" t="str">
        <f t="shared" si="13"/>
        <v>rokprognozy=2017 i lp=700</v>
      </c>
      <c r="J80" s="584" t="str">
        <f t="shared" si="13"/>
        <v>rokprognozy=2018 i lp=700</v>
      </c>
      <c r="K80" s="584" t="str">
        <f t="shared" si="13"/>
        <v>rokprognozy=2019 i lp=700</v>
      </c>
      <c r="L80" s="584" t="str">
        <f t="shared" si="13"/>
        <v>rokprognozy=2020 i lp=700</v>
      </c>
      <c r="M80" s="584" t="str">
        <f t="shared" si="13"/>
        <v>rokprognozy=2021 i lp=700</v>
      </c>
      <c r="N80" s="584" t="str">
        <f t="shared" si="14"/>
        <v>rokprognozy=2022 i lp=700</v>
      </c>
      <c r="O80" s="584" t="str">
        <f t="shared" si="14"/>
        <v>rokprognozy=2023 i lp=700</v>
      </c>
      <c r="P80" s="584" t="str">
        <f t="shared" si="14"/>
        <v>rokprognozy=2024 i lp=700</v>
      </c>
      <c r="Q80" s="584" t="str">
        <f t="shared" si="14"/>
        <v>rokprognozy=2025 i lp=700</v>
      </c>
      <c r="R80" s="584" t="str">
        <f t="shared" si="14"/>
        <v>rokprognozy=2026 i lp=700</v>
      </c>
      <c r="S80" s="584" t="str">
        <f t="shared" si="14"/>
        <v>rokprognozy=2027 i lp=700</v>
      </c>
      <c r="T80" s="584" t="str">
        <f t="shared" si="14"/>
        <v>rokprognozy=2028 i lp=700</v>
      </c>
      <c r="U80" s="584" t="str">
        <f t="shared" si="14"/>
        <v>rokprognozy=2029 i lp=700</v>
      </c>
      <c r="V80" s="584" t="str">
        <f t="shared" si="14"/>
        <v>rokprognozy=2030 i lp=700</v>
      </c>
      <c r="W80" s="584" t="str">
        <f t="shared" si="14"/>
        <v>rokprognozy=2031 i lp=700</v>
      </c>
      <c r="X80" s="584" t="str">
        <f t="shared" si="14"/>
        <v>rokprognozy=2032 i lp=700</v>
      </c>
      <c r="Y80" s="584" t="str">
        <f t="shared" si="14"/>
        <v>rokprognozy=2033 i lp=700</v>
      </c>
      <c r="Z80" s="584" t="str">
        <f t="shared" si="14"/>
        <v>rokprognozy=2034 i lp=700</v>
      </c>
      <c r="AA80" s="584" t="str">
        <f t="shared" si="14"/>
        <v>rokprognozy=2035 i lp=700</v>
      </c>
      <c r="AB80" s="584" t="str">
        <f t="shared" si="14"/>
        <v>rokprognozy=2036 i lp=700</v>
      </c>
      <c r="AC80" s="584" t="str">
        <f t="shared" si="14"/>
        <v>rokprognozy=2037 i lp=700</v>
      </c>
      <c r="AD80" s="584" t="str">
        <f t="shared" si="16"/>
        <v>rokprognozy=2038 i lp=700</v>
      </c>
      <c r="AE80" s="584" t="str">
        <f t="shared" si="16"/>
        <v>rokprognozy=2039 i lp=700</v>
      </c>
      <c r="AF80" s="584" t="str">
        <f t="shared" si="16"/>
        <v>rokprognozy=2040 i lp=700</v>
      </c>
      <c r="AG80" s="584" t="str">
        <f t="shared" si="16"/>
        <v>rokprognozy=2041 i lp=700</v>
      </c>
      <c r="AH80" s="584" t="str">
        <f t="shared" si="16"/>
        <v>rokprognozy=2042 i lp=700</v>
      </c>
    </row>
    <row r="81" spans="1:34" ht="12.75">
      <c r="A81" s="583">
        <v>710</v>
      </c>
      <c r="B81" s="583" t="s">
        <v>137</v>
      </c>
      <c r="C81" s="584" t="s">
        <v>441</v>
      </c>
      <c r="D81" s="584" t="str">
        <f t="shared" si="15"/>
        <v>rokprognozy=2013 i lp=710</v>
      </c>
      <c r="E81" s="584" t="str">
        <f t="shared" si="13"/>
        <v>rokprognozy=2013 i lp=710</v>
      </c>
      <c r="F81" s="584" t="str">
        <f t="shared" si="13"/>
        <v>rokprognozy=2014 i lp=710</v>
      </c>
      <c r="G81" s="584" t="str">
        <f t="shared" si="13"/>
        <v>rokprognozy=2015 i lp=710</v>
      </c>
      <c r="H81" s="584" t="str">
        <f t="shared" si="13"/>
        <v>rokprognozy=2016 i lp=710</v>
      </c>
      <c r="I81" s="584" t="str">
        <f t="shared" si="13"/>
        <v>rokprognozy=2017 i lp=710</v>
      </c>
      <c r="J81" s="584" t="str">
        <f t="shared" si="13"/>
        <v>rokprognozy=2018 i lp=710</v>
      </c>
      <c r="K81" s="584" t="str">
        <f t="shared" si="13"/>
        <v>rokprognozy=2019 i lp=710</v>
      </c>
      <c r="L81" s="584" t="str">
        <f t="shared" si="13"/>
        <v>rokprognozy=2020 i lp=710</v>
      </c>
      <c r="M81" s="584" t="str">
        <f t="shared" si="13"/>
        <v>rokprognozy=2021 i lp=710</v>
      </c>
      <c r="N81" s="584" t="str">
        <f t="shared" si="14"/>
        <v>rokprognozy=2022 i lp=710</v>
      </c>
      <c r="O81" s="584" t="str">
        <f t="shared" si="14"/>
        <v>rokprognozy=2023 i lp=710</v>
      </c>
      <c r="P81" s="584" t="str">
        <f t="shared" si="14"/>
        <v>rokprognozy=2024 i lp=710</v>
      </c>
      <c r="Q81" s="584" t="str">
        <f t="shared" si="14"/>
        <v>rokprognozy=2025 i lp=710</v>
      </c>
      <c r="R81" s="584" t="str">
        <f t="shared" si="14"/>
        <v>rokprognozy=2026 i lp=710</v>
      </c>
      <c r="S81" s="584" t="str">
        <f t="shared" si="14"/>
        <v>rokprognozy=2027 i lp=710</v>
      </c>
      <c r="T81" s="584" t="str">
        <f t="shared" si="14"/>
        <v>rokprognozy=2028 i lp=710</v>
      </c>
      <c r="U81" s="584" t="str">
        <f t="shared" si="14"/>
        <v>rokprognozy=2029 i lp=710</v>
      </c>
      <c r="V81" s="584" t="str">
        <f t="shared" si="14"/>
        <v>rokprognozy=2030 i lp=710</v>
      </c>
      <c r="W81" s="584" t="str">
        <f t="shared" si="14"/>
        <v>rokprognozy=2031 i lp=710</v>
      </c>
      <c r="X81" s="584" t="str">
        <f t="shared" si="14"/>
        <v>rokprognozy=2032 i lp=710</v>
      </c>
      <c r="Y81" s="584" t="str">
        <f t="shared" si="14"/>
        <v>rokprognozy=2033 i lp=710</v>
      </c>
      <c r="Z81" s="584" t="str">
        <f t="shared" si="14"/>
        <v>rokprognozy=2034 i lp=710</v>
      </c>
      <c r="AA81" s="584" t="str">
        <f t="shared" si="14"/>
        <v>rokprognozy=2035 i lp=710</v>
      </c>
      <c r="AB81" s="584" t="str">
        <f t="shared" si="14"/>
        <v>rokprognozy=2036 i lp=710</v>
      </c>
      <c r="AC81" s="584" t="str">
        <f t="shared" si="14"/>
        <v>rokprognozy=2037 i lp=710</v>
      </c>
      <c r="AD81" s="584" t="str">
        <f t="shared" si="16"/>
        <v>rokprognozy=2038 i lp=710</v>
      </c>
      <c r="AE81" s="584" t="str">
        <f t="shared" si="16"/>
        <v>rokprognozy=2039 i lp=710</v>
      </c>
      <c r="AF81" s="584" t="str">
        <f t="shared" si="16"/>
        <v>rokprognozy=2040 i lp=710</v>
      </c>
      <c r="AG81" s="584" t="str">
        <f t="shared" si="16"/>
        <v>rokprognozy=2041 i lp=710</v>
      </c>
      <c r="AH81" s="584" t="str">
        <f t="shared" si="16"/>
        <v>rokprognozy=2042 i lp=710</v>
      </c>
    </row>
    <row r="82" spans="1:34" ht="12.75">
      <c r="A82" s="583">
        <v>720</v>
      </c>
      <c r="B82" s="583" t="s">
        <v>138</v>
      </c>
      <c r="C82" s="584" t="s">
        <v>442</v>
      </c>
      <c r="D82" s="584" t="str">
        <f t="shared" si="15"/>
        <v>rokprognozy=2013 i lp=720</v>
      </c>
      <c r="E82" s="584" t="str">
        <f t="shared" si="13"/>
        <v>rokprognozy=2013 i lp=720</v>
      </c>
      <c r="F82" s="584" t="str">
        <f t="shared" si="13"/>
        <v>rokprognozy=2014 i lp=720</v>
      </c>
      <c r="G82" s="584" t="str">
        <f t="shared" si="13"/>
        <v>rokprognozy=2015 i lp=720</v>
      </c>
      <c r="H82" s="584" t="str">
        <f t="shared" si="13"/>
        <v>rokprognozy=2016 i lp=720</v>
      </c>
      <c r="I82" s="584" t="str">
        <f t="shared" si="13"/>
        <v>rokprognozy=2017 i lp=720</v>
      </c>
      <c r="J82" s="584" t="str">
        <f t="shared" si="13"/>
        <v>rokprognozy=2018 i lp=720</v>
      </c>
      <c r="K82" s="584" t="str">
        <f t="shared" si="13"/>
        <v>rokprognozy=2019 i lp=720</v>
      </c>
      <c r="L82" s="584" t="str">
        <f t="shared" si="13"/>
        <v>rokprognozy=2020 i lp=720</v>
      </c>
      <c r="M82" s="584" t="str">
        <f t="shared" si="13"/>
        <v>rokprognozy=2021 i lp=720</v>
      </c>
      <c r="N82" s="584" t="str">
        <f t="shared" si="14"/>
        <v>rokprognozy=2022 i lp=720</v>
      </c>
      <c r="O82" s="584" t="str">
        <f t="shared" si="14"/>
        <v>rokprognozy=2023 i lp=720</v>
      </c>
      <c r="P82" s="584" t="str">
        <f t="shared" si="14"/>
        <v>rokprognozy=2024 i lp=720</v>
      </c>
      <c r="Q82" s="584" t="str">
        <f t="shared" si="14"/>
        <v>rokprognozy=2025 i lp=720</v>
      </c>
      <c r="R82" s="584" t="str">
        <f t="shared" si="14"/>
        <v>rokprognozy=2026 i lp=720</v>
      </c>
      <c r="S82" s="584" t="str">
        <f t="shared" si="14"/>
        <v>rokprognozy=2027 i lp=720</v>
      </c>
      <c r="T82" s="584" t="str">
        <f t="shared" si="14"/>
        <v>rokprognozy=2028 i lp=720</v>
      </c>
      <c r="U82" s="584" t="str">
        <f t="shared" si="14"/>
        <v>rokprognozy=2029 i lp=720</v>
      </c>
      <c r="V82" s="584" t="str">
        <f t="shared" si="14"/>
        <v>rokprognozy=2030 i lp=720</v>
      </c>
      <c r="W82" s="584" t="str">
        <f t="shared" si="14"/>
        <v>rokprognozy=2031 i lp=720</v>
      </c>
      <c r="X82" s="584" t="str">
        <f t="shared" si="14"/>
        <v>rokprognozy=2032 i lp=720</v>
      </c>
      <c r="Y82" s="584" t="str">
        <f t="shared" si="14"/>
        <v>rokprognozy=2033 i lp=720</v>
      </c>
      <c r="Z82" s="584" t="str">
        <f t="shared" si="14"/>
        <v>rokprognozy=2034 i lp=720</v>
      </c>
      <c r="AA82" s="584" t="str">
        <f t="shared" si="14"/>
        <v>rokprognozy=2035 i lp=720</v>
      </c>
      <c r="AB82" s="584" t="str">
        <f t="shared" si="14"/>
        <v>rokprognozy=2036 i lp=720</v>
      </c>
      <c r="AC82" s="584" t="str">
        <f t="shared" si="14"/>
        <v>rokprognozy=2037 i lp=720</v>
      </c>
      <c r="AD82" s="584" t="str">
        <f t="shared" si="16"/>
        <v>rokprognozy=2038 i lp=720</v>
      </c>
      <c r="AE82" s="584" t="str">
        <f t="shared" si="16"/>
        <v>rokprognozy=2039 i lp=720</v>
      </c>
      <c r="AF82" s="584" t="str">
        <f t="shared" si="16"/>
        <v>rokprognozy=2040 i lp=720</v>
      </c>
      <c r="AG82" s="584" t="str">
        <f t="shared" si="16"/>
        <v>rokprognozy=2041 i lp=720</v>
      </c>
      <c r="AH82" s="584" t="str">
        <f t="shared" si="16"/>
        <v>rokprognozy=2042 i lp=720</v>
      </c>
    </row>
    <row r="83" spans="1:34" ht="12.75">
      <c r="A83" s="583">
        <v>730</v>
      </c>
      <c r="B83" s="583">
        <v>12.3</v>
      </c>
      <c r="C83" s="584" t="s">
        <v>443</v>
      </c>
      <c r="D83" s="584" t="str">
        <f t="shared" si="15"/>
        <v>rokprognozy=2013 i lp=730</v>
      </c>
      <c r="E83" s="584" t="str">
        <f t="shared" si="13"/>
        <v>rokprognozy=2013 i lp=730</v>
      </c>
      <c r="F83" s="584" t="str">
        <f t="shared" si="13"/>
        <v>rokprognozy=2014 i lp=730</v>
      </c>
      <c r="G83" s="584" t="str">
        <f t="shared" si="13"/>
        <v>rokprognozy=2015 i lp=730</v>
      </c>
      <c r="H83" s="584" t="str">
        <f t="shared" si="13"/>
        <v>rokprognozy=2016 i lp=730</v>
      </c>
      <c r="I83" s="584" t="str">
        <f t="shared" si="13"/>
        <v>rokprognozy=2017 i lp=730</v>
      </c>
      <c r="J83" s="584" t="str">
        <f t="shared" si="13"/>
        <v>rokprognozy=2018 i lp=730</v>
      </c>
      <c r="K83" s="584" t="str">
        <f t="shared" si="13"/>
        <v>rokprognozy=2019 i lp=730</v>
      </c>
      <c r="L83" s="584" t="str">
        <f t="shared" si="13"/>
        <v>rokprognozy=2020 i lp=730</v>
      </c>
      <c r="M83" s="584" t="str">
        <f t="shared" si="13"/>
        <v>rokprognozy=2021 i lp=730</v>
      </c>
      <c r="N83" s="584" t="str">
        <f t="shared" si="14"/>
        <v>rokprognozy=2022 i lp=730</v>
      </c>
      <c r="O83" s="584" t="str">
        <f t="shared" si="14"/>
        <v>rokprognozy=2023 i lp=730</v>
      </c>
      <c r="P83" s="584" t="str">
        <f t="shared" si="14"/>
        <v>rokprognozy=2024 i lp=730</v>
      </c>
      <c r="Q83" s="584" t="str">
        <f t="shared" si="14"/>
        <v>rokprognozy=2025 i lp=730</v>
      </c>
      <c r="R83" s="584" t="str">
        <f t="shared" si="14"/>
        <v>rokprognozy=2026 i lp=730</v>
      </c>
      <c r="S83" s="584" t="str">
        <f t="shared" si="14"/>
        <v>rokprognozy=2027 i lp=730</v>
      </c>
      <c r="T83" s="584" t="str">
        <f t="shared" si="14"/>
        <v>rokprognozy=2028 i lp=730</v>
      </c>
      <c r="U83" s="584" t="str">
        <f t="shared" si="14"/>
        <v>rokprognozy=2029 i lp=730</v>
      </c>
      <c r="V83" s="584" t="str">
        <f t="shared" si="14"/>
        <v>rokprognozy=2030 i lp=730</v>
      </c>
      <c r="W83" s="584" t="str">
        <f t="shared" si="14"/>
        <v>rokprognozy=2031 i lp=730</v>
      </c>
      <c r="X83" s="584" t="str">
        <f t="shared" si="14"/>
        <v>rokprognozy=2032 i lp=730</v>
      </c>
      <c r="Y83" s="584" t="str">
        <f t="shared" si="14"/>
        <v>rokprognozy=2033 i lp=730</v>
      </c>
      <c r="Z83" s="584" t="str">
        <f t="shared" si="14"/>
        <v>rokprognozy=2034 i lp=730</v>
      </c>
      <c r="AA83" s="584" t="str">
        <f t="shared" si="14"/>
        <v>rokprognozy=2035 i lp=730</v>
      </c>
      <c r="AB83" s="584" t="str">
        <f t="shared" si="14"/>
        <v>rokprognozy=2036 i lp=730</v>
      </c>
      <c r="AC83" s="584" t="str">
        <f t="shared" si="14"/>
        <v>rokprognozy=2037 i lp=730</v>
      </c>
      <c r="AD83" s="584" t="str">
        <f t="shared" si="16"/>
        <v>rokprognozy=2038 i lp=730</v>
      </c>
      <c r="AE83" s="584" t="str">
        <f t="shared" si="16"/>
        <v>rokprognozy=2039 i lp=730</v>
      </c>
      <c r="AF83" s="584" t="str">
        <f t="shared" si="16"/>
        <v>rokprognozy=2040 i lp=730</v>
      </c>
      <c r="AG83" s="584" t="str">
        <f t="shared" si="16"/>
        <v>rokprognozy=2041 i lp=730</v>
      </c>
      <c r="AH83" s="584" t="str">
        <f t="shared" si="16"/>
        <v>rokprognozy=2042 i lp=730</v>
      </c>
    </row>
    <row r="84" spans="1:34" ht="12.75">
      <c r="A84" s="583">
        <v>740</v>
      </c>
      <c r="B84" s="583" t="s">
        <v>142</v>
      </c>
      <c r="C84" s="584" t="s">
        <v>444</v>
      </c>
      <c r="D84" s="584" t="str">
        <f t="shared" si="15"/>
        <v>rokprognozy=2013 i lp=740</v>
      </c>
      <c r="E84" s="584" t="str">
        <f t="shared" si="13"/>
        <v>rokprognozy=2013 i lp=740</v>
      </c>
      <c r="F84" s="584" t="str">
        <f t="shared" si="13"/>
        <v>rokprognozy=2014 i lp=740</v>
      </c>
      <c r="G84" s="584" t="str">
        <f t="shared" si="13"/>
        <v>rokprognozy=2015 i lp=740</v>
      </c>
      <c r="H84" s="584" t="str">
        <f t="shared" si="13"/>
        <v>rokprognozy=2016 i lp=740</v>
      </c>
      <c r="I84" s="584" t="str">
        <f t="shared" si="13"/>
        <v>rokprognozy=2017 i lp=740</v>
      </c>
      <c r="J84" s="584" t="str">
        <f t="shared" si="13"/>
        <v>rokprognozy=2018 i lp=740</v>
      </c>
      <c r="K84" s="584" t="str">
        <f t="shared" si="13"/>
        <v>rokprognozy=2019 i lp=740</v>
      </c>
      <c r="L84" s="584" t="str">
        <f t="shared" si="13"/>
        <v>rokprognozy=2020 i lp=740</v>
      </c>
      <c r="M84" s="584" t="str">
        <f t="shared" si="13"/>
        <v>rokprognozy=2021 i lp=740</v>
      </c>
      <c r="N84" s="584" t="str">
        <f t="shared" si="14"/>
        <v>rokprognozy=2022 i lp=740</v>
      </c>
      <c r="O84" s="584" t="str">
        <f t="shared" si="14"/>
        <v>rokprognozy=2023 i lp=740</v>
      </c>
      <c r="P84" s="584" t="str">
        <f t="shared" si="14"/>
        <v>rokprognozy=2024 i lp=740</v>
      </c>
      <c r="Q84" s="584" t="str">
        <f t="shared" si="14"/>
        <v>rokprognozy=2025 i lp=740</v>
      </c>
      <c r="R84" s="584" t="str">
        <f t="shared" si="14"/>
        <v>rokprognozy=2026 i lp=740</v>
      </c>
      <c r="S84" s="584" t="str">
        <f t="shared" si="14"/>
        <v>rokprognozy=2027 i lp=740</v>
      </c>
      <c r="T84" s="584" t="str">
        <f t="shared" si="14"/>
        <v>rokprognozy=2028 i lp=740</v>
      </c>
      <c r="U84" s="584" t="str">
        <f t="shared" si="14"/>
        <v>rokprognozy=2029 i lp=740</v>
      </c>
      <c r="V84" s="584" t="str">
        <f t="shared" si="14"/>
        <v>rokprognozy=2030 i lp=740</v>
      </c>
      <c r="W84" s="584" t="str">
        <f t="shared" si="14"/>
        <v>rokprognozy=2031 i lp=740</v>
      </c>
      <c r="X84" s="584" t="str">
        <f t="shared" si="14"/>
        <v>rokprognozy=2032 i lp=740</v>
      </c>
      <c r="Y84" s="584" t="str">
        <f t="shared" si="14"/>
        <v>rokprognozy=2033 i lp=740</v>
      </c>
      <c r="Z84" s="584" t="str">
        <f t="shared" si="14"/>
        <v>rokprognozy=2034 i lp=740</v>
      </c>
      <c r="AA84" s="584" t="str">
        <f t="shared" si="14"/>
        <v>rokprognozy=2035 i lp=740</v>
      </c>
      <c r="AB84" s="584" t="str">
        <f t="shared" si="14"/>
        <v>rokprognozy=2036 i lp=740</v>
      </c>
      <c r="AC84" s="584" t="str">
        <f t="shared" si="14"/>
        <v>rokprognozy=2037 i lp=740</v>
      </c>
      <c r="AD84" s="584" t="str">
        <f t="shared" si="16"/>
        <v>rokprognozy=2038 i lp=740</v>
      </c>
      <c r="AE84" s="584" t="str">
        <f t="shared" si="16"/>
        <v>rokprognozy=2039 i lp=740</v>
      </c>
      <c r="AF84" s="584" t="str">
        <f t="shared" si="16"/>
        <v>rokprognozy=2040 i lp=740</v>
      </c>
      <c r="AG84" s="584" t="str">
        <f t="shared" si="16"/>
        <v>rokprognozy=2041 i lp=740</v>
      </c>
      <c r="AH84" s="584" t="str">
        <f t="shared" si="16"/>
        <v>rokprognozy=2042 i lp=740</v>
      </c>
    </row>
    <row r="85" spans="1:34" ht="12.75">
      <c r="A85" s="583">
        <v>750</v>
      </c>
      <c r="B85" s="583" t="s">
        <v>144</v>
      </c>
      <c r="C85" s="584" t="s">
        <v>445</v>
      </c>
      <c r="D85" s="584" t="str">
        <f t="shared" si="15"/>
        <v>rokprognozy=2013 i lp=750</v>
      </c>
      <c r="E85" s="584" t="str">
        <f aca="true" t="shared" si="17" ref="E85:T104">+"rokprognozy="&amp;E$9&amp;" i lp="&amp;$A85</f>
        <v>rokprognozy=2013 i lp=750</v>
      </c>
      <c r="F85" s="584" t="str">
        <f t="shared" si="17"/>
        <v>rokprognozy=2014 i lp=750</v>
      </c>
      <c r="G85" s="584" t="str">
        <f t="shared" si="17"/>
        <v>rokprognozy=2015 i lp=750</v>
      </c>
      <c r="H85" s="584" t="str">
        <f t="shared" si="17"/>
        <v>rokprognozy=2016 i lp=750</v>
      </c>
      <c r="I85" s="584" t="str">
        <f t="shared" si="17"/>
        <v>rokprognozy=2017 i lp=750</v>
      </c>
      <c r="J85" s="584" t="str">
        <f t="shared" si="17"/>
        <v>rokprognozy=2018 i lp=750</v>
      </c>
      <c r="K85" s="584" t="str">
        <f t="shared" si="17"/>
        <v>rokprognozy=2019 i lp=750</v>
      </c>
      <c r="L85" s="584" t="str">
        <f t="shared" si="17"/>
        <v>rokprognozy=2020 i lp=750</v>
      </c>
      <c r="M85" s="584" t="str">
        <f t="shared" si="17"/>
        <v>rokprognozy=2021 i lp=750</v>
      </c>
      <c r="N85" s="584" t="str">
        <f t="shared" si="14"/>
        <v>rokprognozy=2022 i lp=750</v>
      </c>
      <c r="O85" s="584" t="str">
        <f t="shared" si="14"/>
        <v>rokprognozy=2023 i lp=750</v>
      </c>
      <c r="P85" s="584" t="str">
        <f t="shared" si="14"/>
        <v>rokprognozy=2024 i lp=750</v>
      </c>
      <c r="Q85" s="584" t="str">
        <f t="shared" si="14"/>
        <v>rokprognozy=2025 i lp=750</v>
      </c>
      <c r="R85" s="584" t="str">
        <f t="shared" si="14"/>
        <v>rokprognozy=2026 i lp=750</v>
      </c>
      <c r="S85" s="584" t="str">
        <f t="shared" si="14"/>
        <v>rokprognozy=2027 i lp=750</v>
      </c>
      <c r="T85" s="584" t="str">
        <f t="shared" si="14"/>
        <v>rokprognozy=2028 i lp=750</v>
      </c>
      <c r="U85" s="584" t="str">
        <f t="shared" si="14"/>
        <v>rokprognozy=2029 i lp=750</v>
      </c>
      <c r="V85" s="584" t="str">
        <f t="shared" si="14"/>
        <v>rokprognozy=2030 i lp=750</v>
      </c>
      <c r="W85" s="584" t="str">
        <f t="shared" si="14"/>
        <v>rokprognozy=2031 i lp=750</v>
      </c>
      <c r="X85" s="584" t="str">
        <f t="shared" si="14"/>
        <v>rokprognozy=2032 i lp=750</v>
      </c>
      <c r="Y85" s="584" t="str">
        <f t="shared" si="14"/>
        <v>rokprognozy=2033 i lp=750</v>
      </c>
      <c r="Z85" s="584" t="str">
        <f t="shared" si="14"/>
        <v>rokprognozy=2034 i lp=750</v>
      </c>
      <c r="AA85" s="584" t="str">
        <f t="shared" si="14"/>
        <v>rokprognozy=2035 i lp=750</v>
      </c>
      <c r="AB85" s="584" t="str">
        <f t="shared" si="14"/>
        <v>rokprognozy=2036 i lp=750</v>
      </c>
      <c r="AC85" s="584" t="str">
        <f t="shared" si="14"/>
        <v>rokprognozy=2037 i lp=750</v>
      </c>
      <c r="AD85" s="584" t="str">
        <f t="shared" si="16"/>
        <v>rokprognozy=2038 i lp=750</v>
      </c>
      <c r="AE85" s="584" t="str">
        <f t="shared" si="16"/>
        <v>rokprognozy=2039 i lp=750</v>
      </c>
      <c r="AF85" s="584" t="str">
        <f t="shared" si="16"/>
        <v>rokprognozy=2040 i lp=750</v>
      </c>
      <c r="AG85" s="584" t="str">
        <f t="shared" si="16"/>
        <v>rokprognozy=2041 i lp=750</v>
      </c>
      <c r="AH85" s="584" t="str">
        <f t="shared" si="16"/>
        <v>rokprognozy=2042 i lp=750</v>
      </c>
    </row>
    <row r="86" spans="1:34" ht="12.75">
      <c r="A86" s="583">
        <v>760</v>
      </c>
      <c r="B86" s="583">
        <v>12.4</v>
      </c>
      <c r="C86" s="584" t="s">
        <v>446</v>
      </c>
      <c r="D86" s="584" t="str">
        <f t="shared" si="15"/>
        <v>rokprognozy=2013 i lp=760</v>
      </c>
      <c r="E86" s="584" t="str">
        <f t="shared" si="17"/>
        <v>rokprognozy=2013 i lp=760</v>
      </c>
      <c r="F86" s="584" t="str">
        <f t="shared" si="17"/>
        <v>rokprognozy=2014 i lp=760</v>
      </c>
      <c r="G86" s="584" t="str">
        <f t="shared" si="17"/>
        <v>rokprognozy=2015 i lp=760</v>
      </c>
      <c r="H86" s="584" t="str">
        <f t="shared" si="17"/>
        <v>rokprognozy=2016 i lp=760</v>
      </c>
      <c r="I86" s="584" t="str">
        <f t="shared" si="17"/>
        <v>rokprognozy=2017 i lp=760</v>
      </c>
      <c r="J86" s="584" t="str">
        <f t="shared" si="17"/>
        <v>rokprognozy=2018 i lp=760</v>
      </c>
      <c r="K86" s="584" t="str">
        <f t="shared" si="17"/>
        <v>rokprognozy=2019 i lp=760</v>
      </c>
      <c r="L86" s="584" t="str">
        <f t="shared" si="17"/>
        <v>rokprognozy=2020 i lp=760</v>
      </c>
      <c r="M86" s="584" t="str">
        <f t="shared" si="17"/>
        <v>rokprognozy=2021 i lp=760</v>
      </c>
      <c r="N86" s="584" t="str">
        <f t="shared" si="14"/>
        <v>rokprognozy=2022 i lp=760</v>
      </c>
      <c r="O86" s="584" t="str">
        <f t="shared" si="14"/>
        <v>rokprognozy=2023 i lp=760</v>
      </c>
      <c r="P86" s="584" t="str">
        <f t="shared" si="14"/>
        <v>rokprognozy=2024 i lp=760</v>
      </c>
      <c r="Q86" s="584" t="str">
        <f t="shared" si="14"/>
        <v>rokprognozy=2025 i lp=760</v>
      </c>
      <c r="R86" s="584" t="str">
        <f t="shared" si="14"/>
        <v>rokprognozy=2026 i lp=760</v>
      </c>
      <c r="S86" s="584" t="str">
        <f t="shared" si="14"/>
        <v>rokprognozy=2027 i lp=760</v>
      </c>
      <c r="T86" s="584" t="str">
        <f t="shared" si="14"/>
        <v>rokprognozy=2028 i lp=760</v>
      </c>
      <c r="U86" s="584" t="str">
        <f t="shared" si="14"/>
        <v>rokprognozy=2029 i lp=760</v>
      </c>
      <c r="V86" s="584" t="str">
        <f t="shared" si="14"/>
        <v>rokprognozy=2030 i lp=760</v>
      </c>
      <c r="W86" s="584" t="str">
        <f t="shared" si="14"/>
        <v>rokprognozy=2031 i lp=760</v>
      </c>
      <c r="X86" s="584" t="str">
        <f t="shared" si="14"/>
        <v>rokprognozy=2032 i lp=760</v>
      </c>
      <c r="Y86" s="584" t="str">
        <f t="shared" si="14"/>
        <v>rokprognozy=2033 i lp=760</v>
      </c>
      <c r="Z86" s="584" t="str">
        <f t="shared" si="14"/>
        <v>rokprognozy=2034 i lp=760</v>
      </c>
      <c r="AA86" s="584" t="str">
        <f t="shared" si="14"/>
        <v>rokprognozy=2035 i lp=760</v>
      </c>
      <c r="AB86" s="584" t="str">
        <f t="shared" si="14"/>
        <v>rokprognozy=2036 i lp=760</v>
      </c>
      <c r="AC86" s="584" t="str">
        <f t="shared" si="14"/>
        <v>rokprognozy=2037 i lp=760</v>
      </c>
      <c r="AD86" s="584" t="str">
        <f t="shared" si="16"/>
        <v>rokprognozy=2038 i lp=760</v>
      </c>
      <c r="AE86" s="584" t="str">
        <f t="shared" si="16"/>
        <v>rokprognozy=2039 i lp=760</v>
      </c>
      <c r="AF86" s="584" t="str">
        <f t="shared" si="16"/>
        <v>rokprognozy=2040 i lp=760</v>
      </c>
      <c r="AG86" s="584" t="str">
        <f t="shared" si="16"/>
        <v>rokprognozy=2041 i lp=760</v>
      </c>
      <c r="AH86" s="584" t="str">
        <f t="shared" si="16"/>
        <v>rokprognozy=2042 i lp=760</v>
      </c>
    </row>
    <row r="87" spans="1:34" ht="12.75">
      <c r="A87" s="583">
        <v>770</v>
      </c>
      <c r="B87" s="583" t="s">
        <v>148</v>
      </c>
      <c r="C87" s="584" t="s">
        <v>447</v>
      </c>
      <c r="D87" s="584" t="str">
        <f t="shared" si="15"/>
        <v>rokprognozy=2013 i lp=770</v>
      </c>
      <c r="E87" s="584" t="str">
        <f t="shared" si="17"/>
        <v>rokprognozy=2013 i lp=770</v>
      </c>
      <c r="F87" s="584" t="str">
        <f t="shared" si="17"/>
        <v>rokprognozy=2014 i lp=770</v>
      </c>
      <c r="G87" s="584" t="str">
        <f t="shared" si="17"/>
        <v>rokprognozy=2015 i lp=770</v>
      </c>
      <c r="H87" s="584" t="str">
        <f t="shared" si="17"/>
        <v>rokprognozy=2016 i lp=770</v>
      </c>
      <c r="I87" s="584" t="str">
        <f t="shared" si="17"/>
        <v>rokprognozy=2017 i lp=770</v>
      </c>
      <c r="J87" s="584" t="str">
        <f t="shared" si="17"/>
        <v>rokprognozy=2018 i lp=770</v>
      </c>
      <c r="K87" s="584" t="str">
        <f t="shared" si="17"/>
        <v>rokprognozy=2019 i lp=770</v>
      </c>
      <c r="L87" s="584" t="str">
        <f t="shared" si="17"/>
        <v>rokprognozy=2020 i lp=770</v>
      </c>
      <c r="M87" s="584" t="str">
        <f t="shared" si="17"/>
        <v>rokprognozy=2021 i lp=770</v>
      </c>
      <c r="N87" s="584" t="str">
        <f t="shared" si="14"/>
        <v>rokprognozy=2022 i lp=770</v>
      </c>
      <c r="O87" s="584" t="str">
        <f t="shared" si="14"/>
        <v>rokprognozy=2023 i lp=770</v>
      </c>
      <c r="P87" s="584" t="str">
        <f t="shared" si="14"/>
        <v>rokprognozy=2024 i lp=770</v>
      </c>
      <c r="Q87" s="584" t="str">
        <f t="shared" si="14"/>
        <v>rokprognozy=2025 i lp=770</v>
      </c>
      <c r="R87" s="584" t="str">
        <f t="shared" si="14"/>
        <v>rokprognozy=2026 i lp=770</v>
      </c>
      <c r="S87" s="584" t="str">
        <f t="shared" si="14"/>
        <v>rokprognozy=2027 i lp=770</v>
      </c>
      <c r="T87" s="584" t="str">
        <f t="shared" si="14"/>
        <v>rokprognozy=2028 i lp=770</v>
      </c>
      <c r="U87" s="584" t="str">
        <f t="shared" si="14"/>
        <v>rokprognozy=2029 i lp=770</v>
      </c>
      <c r="V87" s="584" t="str">
        <f t="shared" si="14"/>
        <v>rokprognozy=2030 i lp=770</v>
      </c>
      <c r="W87" s="584" t="str">
        <f t="shared" si="14"/>
        <v>rokprognozy=2031 i lp=770</v>
      </c>
      <c r="X87" s="584" t="str">
        <f t="shared" si="14"/>
        <v>rokprognozy=2032 i lp=770</v>
      </c>
      <c r="Y87" s="584" t="str">
        <f t="shared" si="14"/>
        <v>rokprognozy=2033 i lp=770</v>
      </c>
      <c r="Z87" s="584" t="str">
        <f t="shared" si="14"/>
        <v>rokprognozy=2034 i lp=770</v>
      </c>
      <c r="AA87" s="584" t="str">
        <f t="shared" si="14"/>
        <v>rokprognozy=2035 i lp=770</v>
      </c>
      <c r="AB87" s="584" t="str">
        <f t="shared" si="14"/>
        <v>rokprognozy=2036 i lp=770</v>
      </c>
      <c r="AC87" s="584" t="str">
        <f t="shared" si="14"/>
        <v>rokprognozy=2037 i lp=770</v>
      </c>
      <c r="AD87" s="584" t="str">
        <f t="shared" si="16"/>
        <v>rokprognozy=2038 i lp=770</v>
      </c>
      <c r="AE87" s="584" t="str">
        <f t="shared" si="16"/>
        <v>rokprognozy=2039 i lp=770</v>
      </c>
      <c r="AF87" s="584" t="str">
        <f t="shared" si="16"/>
        <v>rokprognozy=2040 i lp=770</v>
      </c>
      <c r="AG87" s="584" t="str">
        <f t="shared" si="16"/>
        <v>rokprognozy=2041 i lp=770</v>
      </c>
      <c r="AH87" s="584" t="str">
        <f t="shared" si="16"/>
        <v>rokprognozy=2042 i lp=770</v>
      </c>
    </row>
    <row r="88" spans="1:34" ht="12.75">
      <c r="A88" s="583">
        <v>780</v>
      </c>
      <c r="B88" s="583" t="s">
        <v>150</v>
      </c>
      <c r="C88" s="584" t="s">
        <v>448</v>
      </c>
      <c r="D88" s="584" t="str">
        <f t="shared" si="15"/>
        <v>rokprognozy=2013 i lp=780</v>
      </c>
      <c r="E88" s="584" t="str">
        <f t="shared" si="17"/>
        <v>rokprognozy=2013 i lp=780</v>
      </c>
      <c r="F88" s="584" t="str">
        <f t="shared" si="17"/>
        <v>rokprognozy=2014 i lp=780</v>
      </c>
      <c r="G88" s="584" t="str">
        <f t="shared" si="17"/>
        <v>rokprognozy=2015 i lp=780</v>
      </c>
      <c r="H88" s="584" t="str">
        <f t="shared" si="17"/>
        <v>rokprognozy=2016 i lp=780</v>
      </c>
      <c r="I88" s="584" t="str">
        <f t="shared" si="17"/>
        <v>rokprognozy=2017 i lp=780</v>
      </c>
      <c r="J88" s="584" t="str">
        <f t="shared" si="17"/>
        <v>rokprognozy=2018 i lp=780</v>
      </c>
      <c r="K88" s="584" t="str">
        <f t="shared" si="17"/>
        <v>rokprognozy=2019 i lp=780</v>
      </c>
      <c r="L88" s="584" t="str">
        <f t="shared" si="17"/>
        <v>rokprognozy=2020 i lp=780</v>
      </c>
      <c r="M88" s="584" t="str">
        <f t="shared" si="17"/>
        <v>rokprognozy=2021 i lp=780</v>
      </c>
      <c r="N88" s="584" t="str">
        <f t="shared" si="17"/>
        <v>rokprognozy=2022 i lp=780</v>
      </c>
      <c r="O88" s="584" t="str">
        <f t="shared" si="17"/>
        <v>rokprognozy=2023 i lp=780</v>
      </c>
      <c r="P88" s="584" t="str">
        <f t="shared" si="17"/>
        <v>rokprognozy=2024 i lp=780</v>
      </c>
      <c r="Q88" s="584" t="str">
        <f t="shared" si="17"/>
        <v>rokprognozy=2025 i lp=780</v>
      </c>
      <c r="R88" s="584" t="str">
        <f t="shared" si="17"/>
        <v>rokprognozy=2026 i lp=780</v>
      </c>
      <c r="S88" s="584" t="str">
        <f t="shared" si="17"/>
        <v>rokprognozy=2027 i lp=780</v>
      </c>
      <c r="T88" s="584" t="str">
        <f t="shared" si="17"/>
        <v>rokprognozy=2028 i lp=780</v>
      </c>
      <c r="U88" s="584" t="str">
        <f aca="true" t="shared" si="18" ref="N88:AC104">+"rokprognozy="&amp;U$9&amp;" i lp="&amp;$A88</f>
        <v>rokprognozy=2029 i lp=780</v>
      </c>
      <c r="V88" s="584" t="str">
        <f t="shared" si="18"/>
        <v>rokprognozy=2030 i lp=780</v>
      </c>
      <c r="W88" s="584" t="str">
        <f t="shared" si="18"/>
        <v>rokprognozy=2031 i lp=780</v>
      </c>
      <c r="X88" s="584" t="str">
        <f t="shared" si="18"/>
        <v>rokprognozy=2032 i lp=780</v>
      </c>
      <c r="Y88" s="584" t="str">
        <f t="shared" si="18"/>
        <v>rokprognozy=2033 i lp=780</v>
      </c>
      <c r="Z88" s="584" t="str">
        <f t="shared" si="18"/>
        <v>rokprognozy=2034 i lp=780</v>
      </c>
      <c r="AA88" s="584" t="str">
        <f t="shared" si="18"/>
        <v>rokprognozy=2035 i lp=780</v>
      </c>
      <c r="AB88" s="584" t="str">
        <f t="shared" si="18"/>
        <v>rokprognozy=2036 i lp=780</v>
      </c>
      <c r="AC88" s="584" t="str">
        <f t="shared" si="18"/>
        <v>rokprognozy=2037 i lp=780</v>
      </c>
      <c r="AD88" s="584" t="str">
        <f t="shared" si="16"/>
        <v>rokprognozy=2038 i lp=780</v>
      </c>
      <c r="AE88" s="584" t="str">
        <f t="shared" si="16"/>
        <v>rokprognozy=2039 i lp=780</v>
      </c>
      <c r="AF88" s="584" t="str">
        <f t="shared" si="16"/>
        <v>rokprognozy=2040 i lp=780</v>
      </c>
      <c r="AG88" s="584" t="str">
        <f t="shared" si="16"/>
        <v>rokprognozy=2041 i lp=780</v>
      </c>
      <c r="AH88" s="584" t="str">
        <f t="shared" si="16"/>
        <v>rokprognozy=2042 i lp=780</v>
      </c>
    </row>
    <row r="89" spans="1:34" ht="12.75">
      <c r="A89" s="583">
        <v>790</v>
      </c>
      <c r="B89" s="583">
        <v>13</v>
      </c>
      <c r="C89" s="584" t="s">
        <v>152</v>
      </c>
      <c r="D89" s="584" t="str">
        <f t="shared" si="15"/>
        <v>rokprognozy=2013 i lp=790</v>
      </c>
      <c r="E89" s="584" t="str">
        <f t="shared" si="17"/>
        <v>rokprognozy=2013 i lp=790</v>
      </c>
      <c r="F89" s="584" t="str">
        <f t="shared" si="17"/>
        <v>rokprognozy=2014 i lp=790</v>
      </c>
      <c r="G89" s="584" t="str">
        <f t="shared" si="17"/>
        <v>rokprognozy=2015 i lp=790</v>
      </c>
      <c r="H89" s="584" t="str">
        <f t="shared" si="17"/>
        <v>rokprognozy=2016 i lp=790</v>
      </c>
      <c r="I89" s="584" t="str">
        <f t="shared" si="17"/>
        <v>rokprognozy=2017 i lp=790</v>
      </c>
      <c r="J89" s="584" t="str">
        <f t="shared" si="17"/>
        <v>rokprognozy=2018 i lp=790</v>
      </c>
      <c r="K89" s="584" t="str">
        <f t="shared" si="17"/>
        <v>rokprognozy=2019 i lp=790</v>
      </c>
      <c r="L89" s="584" t="str">
        <f t="shared" si="17"/>
        <v>rokprognozy=2020 i lp=790</v>
      </c>
      <c r="M89" s="584" t="str">
        <f t="shared" si="17"/>
        <v>rokprognozy=2021 i lp=790</v>
      </c>
      <c r="N89" s="584" t="str">
        <f t="shared" si="18"/>
        <v>rokprognozy=2022 i lp=790</v>
      </c>
      <c r="O89" s="584" t="str">
        <f t="shared" si="18"/>
        <v>rokprognozy=2023 i lp=790</v>
      </c>
      <c r="P89" s="584" t="str">
        <f t="shared" si="18"/>
        <v>rokprognozy=2024 i lp=790</v>
      </c>
      <c r="Q89" s="584" t="str">
        <f t="shared" si="18"/>
        <v>rokprognozy=2025 i lp=790</v>
      </c>
      <c r="R89" s="584" t="str">
        <f t="shared" si="18"/>
        <v>rokprognozy=2026 i lp=790</v>
      </c>
      <c r="S89" s="584" t="str">
        <f t="shared" si="18"/>
        <v>rokprognozy=2027 i lp=790</v>
      </c>
      <c r="T89" s="584" t="str">
        <f t="shared" si="18"/>
        <v>rokprognozy=2028 i lp=790</v>
      </c>
      <c r="U89" s="584" t="str">
        <f t="shared" si="18"/>
        <v>rokprognozy=2029 i lp=790</v>
      </c>
      <c r="V89" s="584" t="str">
        <f t="shared" si="18"/>
        <v>rokprognozy=2030 i lp=790</v>
      </c>
      <c r="W89" s="584" t="str">
        <f t="shared" si="18"/>
        <v>rokprognozy=2031 i lp=790</v>
      </c>
      <c r="X89" s="584" t="str">
        <f t="shared" si="18"/>
        <v>rokprognozy=2032 i lp=790</v>
      </c>
      <c r="Y89" s="584" t="str">
        <f t="shared" si="18"/>
        <v>rokprognozy=2033 i lp=790</v>
      </c>
      <c r="Z89" s="584" t="str">
        <f t="shared" si="18"/>
        <v>rokprognozy=2034 i lp=790</v>
      </c>
      <c r="AA89" s="584" t="str">
        <f t="shared" si="18"/>
        <v>rokprognozy=2035 i lp=790</v>
      </c>
      <c r="AB89" s="584" t="str">
        <f t="shared" si="18"/>
        <v>rokprognozy=2036 i lp=790</v>
      </c>
      <c r="AC89" s="584" t="str">
        <f t="shared" si="18"/>
        <v>rokprognozy=2037 i lp=790</v>
      </c>
      <c r="AD89" s="584" t="str">
        <f t="shared" si="16"/>
        <v>rokprognozy=2038 i lp=790</v>
      </c>
      <c r="AE89" s="584" t="str">
        <f t="shared" si="16"/>
        <v>rokprognozy=2039 i lp=790</v>
      </c>
      <c r="AF89" s="584" t="str">
        <f t="shared" si="16"/>
        <v>rokprognozy=2040 i lp=790</v>
      </c>
      <c r="AG89" s="584" t="str">
        <f t="shared" si="16"/>
        <v>rokprognozy=2041 i lp=790</v>
      </c>
      <c r="AH89" s="584" t="str">
        <f t="shared" si="16"/>
        <v>rokprognozy=2042 i lp=790</v>
      </c>
    </row>
    <row r="90" spans="1:34" ht="12.75">
      <c r="A90" s="583">
        <v>800</v>
      </c>
      <c r="B90" s="583">
        <v>13.1</v>
      </c>
      <c r="C90" s="584" t="s">
        <v>449</v>
      </c>
      <c r="D90" s="584" t="str">
        <f t="shared" si="15"/>
        <v>rokprognozy=2013 i lp=800</v>
      </c>
      <c r="E90" s="584" t="str">
        <f t="shared" si="17"/>
        <v>rokprognozy=2013 i lp=800</v>
      </c>
      <c r="F90" s="584" t="str">
        <f t="shared" si="17"/>
        <v>rokprognozy=2014 i lp=800</v>
      </c>
      <c r="G90" s="584" t="str">
        <f t="shared" si="17"/>
        <v>rokprognozy=2015 i lp=800</v>
      </c>
      <c r="H90" s="584" t="str">
        <f t="shared" si="17"/>
        <v>rokprognozy=2016 i lp=800</v>
      </c>
      <c r="I90" s="584" t="str">
        <f t="shared" si="17"/>
        <v>rokprognozy=2017 i lp=800</v>
      </c>
      <c r="J90" s="584" t="str">
        <f t="shared" si="17"/>
        <v>rokprognozy=2018 i lp=800</v>
      </c>
      <c r="K90" s="584" t="str">
        <f t="shared" si="17"/>
        <v>rokprognozy=2019 i lp=800</v>
      </c>
      <c r="L90" s="584" t="str">
        <f t="shared" si="17"/>
        <v>rokprognozy=2020 i lp=800</v>
      </c>
      <c r="M90" s="584" t="str">
        <f t="shared" si="17"/>
        <v>rokprognozy=2021 i lp=800</v>
      </c>
      <c r="N90" s="584" t="str">
        <f t="shared" si="18"/>
        <v>rokprognozy=2022 i lp=800</v>
      </c>
      <c r="O90" s="584" t="str">
        <f t="shared" si="18"/>
        <v>rokprognozy=2023 i lp=800</v>
      </c>
      <c r="P90" s="584" t="str">
        <f t="shared" si="18"/>
        <v>rokprognozy=2024 i lp=800</v>
      </c>
      <c r="Q90" s="584" t="str">
        <f t="shared" si="18"/>
        <v>rokprognozy=2025 i lp=800</v>
      </c>
      <c r="R90" s="584" t="str">
        <f t="shared" si="18"/>
        <v>rokprognozy=2026 i lp=800</v>
      </c>
      <c r="S90" s="584" t="str">
        <f t="shared" si="18"/>
        <v>rokprognozy=2027 i lp=800</v>
      </c>
      <c r="T90" s="584" t="str">
        <f t="shared" si="18"/>
        <v>rokprognozy=2028 i lp=800</v>
      </c>
      <c r="U90" s="584" t="str">
        <f t="shared" si="18"/>
        <v>rokprognozy=2029 i lp=800</v>
      </c>
      <c r="V90" s="584" t="str">
        <f t="shared" si="18"/>
        <v>rokprognozy=2030 i lp=800</v>
      </c>
      <c r="W90" s="584" t="str">
        <f t="shared" si="18"/>
        <v>rokprognozy=2031 i lp=800</v>
      </c>
      <c r="X90" s="584" t="str">
        <f t="shared" si="18"/>
        <v>rokprognozy=2032 i lp=800</v>
      </c>
      <c r="Y90" s="584" t="str">
        <f t="shared" si="18"/>
        <v>rokprognozy=2033 i lp=800</v>
      </c>
      <c r="Z90" s="584" t="str">
        <f t="shared" si="18"/>
        <v>rokprognozy=2034 i lp=800</v>
      </c>
      <c r="AA90" s="584" t="str">
        <f t="shared" si="18"/>
        <v>rokprognozy=2035 i lp=800</v>
      </c>
      <c r="AB90" s="584" t="str">
        <f t="shared" si="18"/>
        <v>rokprognozy=2036 i lp=800</v>
      </c>
      <c r="AC90" s="584" t="str">
        <f t="shared" si="18"/>
        <v>rokprognozy=2037 i lp=800</v>
      </c>
      <c r="AD90" s="584" t="str">
        <f t="shared" si="16"/>
        <v>rokprognozy=2038 i lp=800</v>
      </c>
      <c r="AE90" s="584" t="str">
        <f t="shared" si="16"/>
        <v>rokprognozy=2039 i lp=800</v>
      </c>
      <c r="AF90" s="584" t="str">
        <f t="shared" si="16"/>
        <v>rokprognozy=2040 i lp=800</v>
      </c>
      <c r="AG90" s="584" t="str">
        <f t="shared" si="16"/>
        <v>rokprognozy=2041 i lp=800</v>
      </c>
      <c r="AH90" s="584" t="str">
        <f t="shared" si="16"/>
        <v>rokprognozy=2042 i lp=800</v>
      </c>
    </row>
    <row r="91" spans="1:34" ht="12.75">
      <c r="A91" s="583">
        <v>810</v>
      </c>
      <c r="B91" s="583">
        <v>13.2</v>
      </c>
      <c r="C91" s="584" t="s">
        <v>450</v>
      </c>
      <c r="D91" s="584" t="str">
        <f t="shared" si="15"/>
        <v>rokprognozy=2013 i lp=810</v>
      </c>
      <c r="E91" s="584" t="str">
        <f t="shared" si="17"/>
        <v>rokprognozy=2013 i lp=810</v>
      </c>
      <c r="F91" s="584" t="str">
        <f t="shared" si="17"/>
        <v>rokprognozy=2014 i lp=810</v>
      </c>
      <c r="G91" s="584" t="str">
        <f t="shared" si="17"/>
        <v>rokprognozy=2015 i lp=810</v>
      </c>
      <c r="H91" s="584" t="str">
        <f t="shared" si="17"/>
        <v>rokprognozy=2016 i lp=810</v>
      </c>
      <c r="I91" s="584" t="str">
        <f t="shared" si="17"/>
        <v>rokprognozy=2017 i lp=810</v>
      </c>
      <c r="J91" s="584" t="str">
        <f t="shared" si="17"/>
        <v>rokprognozy=2018 i lp=810</v>
      </c>
      <c r="K91" s="584" t="str">
        <f t="shared" si="17"/>
        <v>rokprognozy=2019 i lp=810</v>
      </c>
      <c r="L91" s="584" t="str">
        <f t="shared" si="17"/>
        <v>rokprognozy=2020 i lp=810</v>
      </c>
      <c r="M91" s="584" t="str">
        <f t="shared" si="17"/>
        <v>rokprognozy=2021 i lp=810</v>
      </c>
      <c r="N91" s="584" t="str">
        <f t="shared" si="18"/>
        <v>rokprognozy=2022 i lp=810</v>
      </c>
      <c r="O91" s="584" t="str">
        <f t="shared" si="18"/>
        <v>rokprognozy=2023 i lp=810</v>
      </c>
      <c r="P91" s="584" t="str">
        <f t="shared" si="18"/>
        <v>rokprognozy=2024 i lp=810</v>
      </c>
      <c r="Q91" s="584" t="str">
        <f t="shared" si="18"/>
        <v>rokprognozy=2025 i lp=810</v>
      </c>
      <c r="R91" s="584" t="str">
        <f t="shared" si="18"/>
        <v>rokprognozy=2026 i lp=810</v>
      </c>
      <c r="S91" s="584" t="str">
        <f t="shared" si="18"/>
        <v>rokprognozy=2027 i lp=810</v>
      </c>
      <c r="T91" s="584" t="str">
        <f t="shared" si="18"/>
        <v>rokprognozy=2028 i lp=810</v>
      </c>
      <c r="U91" s="584" t="str">
        <f t="shared" si="18"/>
        <v>rokprognozy=2029 i lp=810</v>
      </c>
      <c r="V91" s="584" t="str">
        <f t="shared" si="18"/>
        <v>rokprognozy=2030 i lp=810</v>
      </c>
      <c r="W91" s="584" t="str">
        <f t="shared" si="18"/>
        <v>rokprognozy=2031 i lp=810</v>
      </c>
      <c r="X91" s="584" t="str">
        <f t="shared" si="18"/>
        <v>rokprognozy=2032 i lp=810</v>
      </c>
      <c r="Y91" s="584" t="str">
        <f t="shared" si="18"/>
        <v>rokprognozy=2033 i lp=810</v>
      </c>
      <c r="Z91" s="584" t="str">
        <f t="shared" si="18"/>
        <v>rokprognozy=2034 i lp=810</v>
      </c>
      <c r="AA91" s="584" t="str">
        <f t="shared" si="18"/>
        <v>rokprognozy=2035 i lp=810</v>
      </c>
      <c r="AB91" s="584" t="str">
        <f t="shared" si="18"/>
        <v>rokprognozy=2036 i lp=810</v>
      </c>
      <c r="AC91" s="584" t="str">
        <f t="shared" si="18"/>
        <v>rokprognozy=2037 i lp=810</v>
      </c>
      <c r="AD91" s="584" t="str">
        <f t="shared" si="16"/>
        <v>rokprognozy=2038 i lp=810</v>
      </c>
      <c r="AE91" s="584" t="str">
        <f t="shared" si="16"/>
        <v>rokprognozy=2039 i lp=810</v>
      </c>
      <c r="AF91" s="584" t="str">
        <f t="shared" si="16"/>
        <v>rokprognozy=2040 i lp=810</v>
      </c>
      <c r="AG91" s="584" t="str">
        <f t="shared" si="16"/>
        <v>rokprognozy=2041 i lp=810</v>
      </c>
      <c r="AH91" s="584" t="str">
        <f t="shared" si="16"/>
        <v>rokprognozy=2042 i lp=810</v>
      </c>
    </row>
    <row r="92" spans="1:34" ht="12.75">
      <c r="A92" s="583">
        <v>820</v>
      </c>
      <c r="B92" s="583">
        <v>13.3</v>
      </c>
      <c r="C92" s="584" t="s">
        <v>451</v>
      </c>
      <c r="D92" s="584" t="str">
        <f t="shared" si="15"/>
        <v>rokprognozy=2013 i lp=820</v>
      </c>
      <c r="E92" s="584" t="str">
        <f t="shared" si="17"/>
        <v>rokprognozy=2013 i lp=820</v>
      </c>
      <c r="F92" s="584" t="str">
        <f t="shared" si="17"/>
        <v>rokprognozy=2014 i lp=820</v>
      </c>
      <c r="G92" s="584" t="str">
        <f t="shared" si="17"/>
        <v>rokprognozy=2015 i lp=820</v>
      </c>
      <c r="H92" s="584" t="str">
        <f t="shared" si="17"/>
        <v>rokprognozy=2016 i lp=820</v>
      </c>
      <c r="I92" s="584" t="str">
        <f t="shared" si="17"/>
        <v>rokprognozy=2017 i lp=820</v>
      </c>
      <c r="J92" s="584" t="str">
        <f t="shared" si="17"/>
        <v>rokprognozy=2018 i lp=820</v>
      </c>
      <c r="K92" s="584" t="str">
        <f t="shared" si="17"/>
        <v>rokprognozy=2019 i lp=820</v>
      </c>
      <c r="L92" s="584" t="str">
        <f t="shared" si="17"/>
        <v>rokprognozy=2020 i lp=820</v>
      </c>
      <c r="M92" s="584" t="str">
        <f t="shared" si="17"/>
        <v>rokprognozy=2021 i lp=820</v>
      </c>
      <c r="N92" s="584" t="str">
        <f t="shared" si="18"/>
        <v>rokprognozy=2022 i lp=820</v>
      </c>
      <c r="O92" s="584" t="str">
        <f t="shared" si="18"/>
        <v>rokprognozy=2023 i lp=820</v>
      </c>
      <c r="P92" s="584" t="str">
        <f t="shared" si="18"/>
        <v>rokprognozy=2024 i lp=820</v>
      </c>
      <c r="Q92" s="584" t="str">
        <f t="shared" si="18"/>
        <v>rokprognozy=2025 i lp=820</v>
      </c>
      <c r="R92" s="584" t="str">
        <f t="shared" si="18"/>
        <v>rokprognozy=2026 i lp=820</v>
      </c>
      <c r="S92" s="584" t="str">
        <f t="shared" si="18"/>
        <v>rokprognozy=2027 i lp=820</v>
      </c>
      <c r="T92" s="584" t="str">
        <f t="shared" si="18"/>
        <v>rokprognozy=2028 i lp=820</v>
      </c>
      <c r="U92" s="584" t="str">
        <f t="shared" si="18"/>
        <v>rokprognozy=2029 i lp=820</v>
      </c>
      <c r="V92" s="584" t="str">
        <f t="shared" si="18"/>
        <v>rokprognozy=2030 i lp=820</v>
      </c>
      <c r="W92" s="584" t="str">
        <f t="shared" si="18"/>
        <v>rokprognozy=2031 i lp=820</v>
      </c>
      <c r="X92" s="584" t="str">
        <f t="shared" si="18"/>
        <v>rokprognozy=2032 i lp=820</v>
      </c>
      <c r="Y92" s="584" t="str">
        <f t="shared" si="18"/>
        <v>rokprognozy=2033 i lp=820</v>
      </c>
      <c r="Z92" s="584" t="str">
        <f t="shared" si="18"/>
        <v>rokprognozy=2034 i lp=820</v>
      </c>
      <c r="AA92" s="584" t="str">
        <f t="shared" si="18"/>
        <v>rokprognozy=2035 i lp=820</v>
      </c>
      <c r="AB92" s="584" t="str">
        <f t="shared" si="18"/>
        <v>rokprognozy=2036 i lp=820</v>
      </c>
      <c r="AC92" s="584" t="str">
        <f t="shared" si="18"/>
        <v>rokprognozy=2037 i lp=820</v>
      </c>
      <c r="AD92" s="584" t="str">
        <f aca="true" t="shared" si="19" ref="AD92:AH104">+"rokprognozy="&amp;AD$9&amp;" i lp="&amp;$A92</f>
        <v>rokprognozy=2038 i lp=820</v>
      </c>
      <c r="AE92" s="584" t="str">
        <f t="shared" si="19"/>
        <v>rokprognozy=2039 i lp=820</v>
      </c>
      <c r="AF92" s="584" t="str">
        <f t="shared" si="19"/>
        <v>rokprognozy=2040 i lp=820</v>
      </c>
      <c r="AG92" s="584" t="str">
        <f t="shared" si="19"/>
        <v>rokprognozy=2041 i lp=820</v>
      </c>
      <c r="AH92" s="584" t="str">
        <f t="shared" si="19"/>
        <v>rokprognozy=2042 i lp=820</v>
      </c>
    </row>
    <row r="93" spans="1:34" ht="12.75">
      <c r="A93" s="583">
        <v>830</v>
      </c>
      <c r="B93" s="583">
        <v>13.4</v>
      </c>
      <c r="C93" s="584" t="s">
        <v>452</v>
      </c>
      <c r="D93" s="584" t="str">
        <f t="shared" si="15"/>
        <v>rokprognozy=2013 i lp=830</v>
      </c>
      <c r="E93" s="584" t="str">
        <f t="shared" si="17"/>
        <v>rokprognozy=2013 i lp=830</v>
      </c>
      <c r="F93" s="584" t="str">
        <f t="shared" si="17"/>
        <v>rokprognozy=2014 i lp=830</v>
      </c>
      <c r="G93" s="584" t="str">
        <f t="shared" si="17"/>
        <v>rokprognozy=2015 i lp=830</v>
      </c>
      <c r="H93" s="584" t="str">
        <f t="shared" si="17"/>
        <v>rokprognozy=2016 i lp=830</v>
      </c>
      <c r="I93" s="584" t="str">
        <f t="shared" si="17"/>
        <v>rokprognozy=2017 i lp=830</v>
      </c>
      <c r="J93" s="584" t="str">
        <f t="shared" si="17"/>
        <v>rokprognozy=2018 i lp=830</v>
      </c>
      <c r="K93" s="584" t="str">
        <f t="shared" si="17"/>
        <v>rokprognozy=2019 i lp=830</v>
      </c>
      <c r="L93" s="584" t="str">
        <f t="shared" si="17"/>
        <v>rokprognozy=2020 i lp=830</v>
      </c>
      <c r="M93" s="584" t="str">
        <f t="shared" si="17"/>
        <v>rokprognozy=2021 i lp=830</v>
      </c>
      <c r="N93" s="584" t="str">
        <f t="shared" si="18"/>
        <v>rokprognozy=2022 i lp=830</v>
      </c>
      <c r="O93" s="584" t="str">
        <f t="shared" si="18"/>
        <v>rokprognozy=2023 i lp=830</v>
      </c>
      <c r="P93" s="584" t="str">
        <f t="shared" si="18"/>
        <v>rokprognozy=2024 i lp=830</v>
      </c>
      <c r="Q93" s="584" t="str">
        <f t="shared" si="18"/>
        <v>rokprognozy=2025 i lp=830</v>
      </c>
      <c r="R93" s="584" t="str">
        <f t="shared" si="18"/>
        <v>rokprognozy=2026 i lp=830</v>
      </c>
      <c r="S93" s="584" t="str">
        <f t="shared" si="18"/>
        <v>rokprognozy=2027 i lp=830</v>
      </c>
      <c r="T93" s="584" t="str">
        <f t="shared" si="18"/>
        <v>rokprognozy=2028 i lp=830</v>
      </c>
      <c r="U93" s="584" t="str">
        <f t="shared" si="18"/>
        <v>rokprognozy=2029 i lp=830</v>
      </c>
      <c r="V93" s="584" t="str">
        <f t="shared" si="18"/>
        <v>rokprognozy=2030 i lp=830</v>
      </c>
      <c r="W93" s="584" t="str">
        <f t="shared" si="18"/>
        <v>rokprognozy=2031 i lp=830</v>
      </c>
      <c r="X93" s="584" t="str">
        <f t="shared" si="18"/>
        <v>rokprognozy=2032 i lp=830</v>
      </c>
      <c r="Y93" s="584" t="str">
        <f t="shared" si="18"/>
        <v>rokprognozy=2033 i lp=830</v>
      </c>
      <c r="Z93" s="584" t="str">
        <f t="shared" si="18"/>
        <v>rokprognozy=2034 i lp=830</v>
      </c>
      <c r="AA93" s="584" t="str">
        <f t="shared" si="18"/>
        <v>rokprognozy=2035 i lp=830</v>
      </c>
      <c r="AB93" s="584" t="str">
        <f t="shared" si="18"/>
        <v>rokprognozy=2036 i lp=830</v>
      </c>
      <c r="AC93" s="584" t="str">
        <f t="shared" si="18"/>
        <v>rokprognozy=2037 i lp=830</v>
      </c>
      <c r="AD93" s="584" t="str">
        <f t="shared" si="19"/>
        <v>rokprognozy=2038 i lp=830</v>
      </c>
      <c r="AE93" s="584" t="str">
        <f t="shared" si="19"/>
        <v>rokprognozy=2039 i lp=830</v>
      </c>
      <c r="AF93" s="584" t="str">
        <f t="shared" si="19"/>
        <v>rokprognozy=2040 i lp=830</v>
      </c>
      <c r="AG93" s="584" t="str">
        <f t="shared" si="19"/>
        <v>rokprognozy=2041 i lp=830</v>
      </c>
      <c r="AH93" s="584" t="str">
        <f t="shared" si="19"/>
        <v>rokprognozy=2042 i lp=830</v>
      </c>
    </row>
    <row r="94" spans="1:34" ht="12.75">
      <c r="A94" s="583">
        <v>840</v>
      </c>
      <c r="B94" s="583">
        <v>13.5</v>
      </c>
      <c r="C94" s="584" t="s">
        <v>453</v>
      </c>
      <c r="D94" s="584" t="str">
        <f t="shared" si="15"/>
        <v>rokprognozy=2013 i lp=840</v>
      </c>
      <c r="E94" s="584" t="str">
        <f t="shared" si="17"/>
        <v>rokprognozy=2013 i lp=840</v>
      </c>
      <c r="F94" s="584" t="str">
        <f t="shared" si="17"/>
        <v>rokprognozy=2014 i lp=840</v>
      </c>
      <c r="G94" s="584" t="str">
        <f t="shared" si="17"/>
        <v>rokprognozy=2015 i lp=840</v>
      </c>
      <c r="H94" s="584" t="str">
        <f t="shared" si="17"/>
        <v>rokprognozy=2016 i lp=840</v>
      </c>
      <c r="I94" s="584" t="str">
        <f t="shared" si="17"/>
        <v>rokprognozy=2017 i lp=840</v>
      </c>
      <c r="J94" s="584" t="str">
        <f t="shared" si="17"/>
        <v>rokprognozy=2018 i lp=840</v>
      </c>
      <c r="K94" s="584" t="str">
        <f t="shared" si="17"/>
        <v>rokprognozy=2019 i lp=840</v>
      </c>
      <c r="L94" s="584" t="str">
        <f t="shared" si="17"/>
        <v>rokprognozy=2020 i lp=840</v>
      </c>
      <c r="M94" s="584" t="str">
        <f t="shared" si="17"/>
        <v>rokprognozy=2021 i lp=840</v>
      </c>
      <c r="N94" s="584" t="str">
        <f t="shared" si="18"/>
        <v>rokprognozy=2022 i lp=840</v>
      </c>
      <c r="O94" s="584" t="str">
        <f t="shared" si="18"/>
        <v>rokprognozy=2023 i lp=840</v>
      </c>
      <c r="P94" s="584" t="str">
        <f t="shared" si="18"/>
        <v>rokprognozy=2024 i lp=840</v>
      </c>
      <c r="Q94" s="584" t="str">
        <f t="shared" si="18"/>
        <v>rokprognozy=2025 i lp=840</v>
      </c>
      <c r="R94" s="584" t="str">
        <f t="shared" si="18"/>
        <v>rokprognozy=2026 i lp=840</v>
      </c>
      <c r="S94" s="584" t="str">
        <f t="shared" si="18"/>
        <v>rokprognozy=2027 i lp=840</v>
      </c>
      <c r="T94" s="584" t="str">
        <f t="shared" si="18"/>
        <v>rokprognozy=2028 i lp=840</v>
      </c>
      <c r="U94" s="584" t="str">
        <f t="shared" si="18"/>
        <v>rokprognozy=2029 i lp=840</v>
      </c>
      <c r="V94" s="584" t="str">
        <f t="shared" si="18"/>
        <v>rokprognozy=2030 i lp=840</v>
      </c>
      <c r="W94" s="584" t="str">
        <f t="shared" si="18"/>
        <v>rokprognozy=2031 i lp=840</v>
      </c>
      <c r="X94" s="584" t="str">
        <f t="shared" si="18"/>
        <v>rokprognozy=2032 i lp=840</v>
      </c>
      <c r="Y94" s="584" t="str">
        <f t="shared" si="18"/>
        <v>rokprognozy=2033 i lp=840</v>
      </c>
      <c r="Z94" s="584" t="str">
        <f t="shared" si="18"/>
        <v>rokprognozy=2034 i lp=840</v>
      </c>
      <c r="AA94" s="584" t="str">
        <f t="shared" si="18"/>
        <v>rokprognozy=2035 i lp=840</v>
      </c>
      <c r="AB94" s="584" t="str">
        <f t="shared" si="18"/>
        <v>rokprognozy=2036 i lp=840</v>
      </c>
      <c r="AC94" s="584" t="str">
        <f t="shared" si="18"/>
        <v>rokprognozy=2037 i lp=840</v>
      </c>
      <c r="AD94" s="584" t="str">
        <f t="shared" si="19"/>
        <v>rokprognozy=2038 i lp=840</v>
      </c>
      <c r="AE94" s="584" t="str">
        <f t="shared" si="19"/>
        <v>rokprognozy=2039 i lp=840</v>
      </c>
      <c r="AF94" s="584" t="str">
        <f t="shared" si="19"/>
        <v>rokprognozy=2040 i lp=840</v>
      </c>
      <c r="AG94" s="584" t="str">
        <f t="shared" si="19"/>
        <v>rokprognozy=2041 i lp=840</v>
      </c>
      <c r="AH94" s="584" t="str">
        <f t="shared" si="19"/>
        <v>rokprognozy=2042 i lp=840</v>
      </c>
    </row>
    <row r="95" spans="1:34" ht="12.75">
      <c r="A95" s="583">
        <v>850</v>
      </c>
      <c r="B95" s="583">
        <v>13.6</v>
      </c>
      <c r="C95" s="584" t="s">
        <v>454</v>
      </c>
      <c r="D95" s="584" t="str">
        <f t="shared" si="15"/>
        <v>rokprognozy=2013 i lp=850</v>
      </c>
      <c r="E95" s="584" t="str">
        <f t="shared" si="17"/>
        <v>rokprognozy=2013 i lp=850</v>
      </c>
      <c r="F95" s="584" t="str">
        <f t="shared" si="17"/>
        <v>rokprognozy=2014 i lp=850</v>
      </c>
      <c r="G95" s="584" t="str">
        <f t="shared" si="17"/>
        <v>rokprognozy=2015 i lp=850</v>
      </c>
      <c r="H95" s="584" t="str">
        <f t="shared" si="17"/>
        <v>rokprognozy=2016 i lp=850</v>
      </c>
      <c r="I95" s="584" t="str">
        <f t="shared" si="17"/>
        <v>rokprognozy=2017 i lp=850</v>
      </c>
      <c r="J95" s="584" t="str">
        <f t="shared" si="17"/>
        <v>rokprognozy=2018 i lp=850</v>
      </c>
      <c r="K95" s="584" t="str">
        <f t="shared" si="17"/>
        <v>rokprognozy=2019 i lp=850</v>
      </c>
      <c r="L95" s="584" t="str">
        <f t="shared" si="17"/>
        <v>rokprognozy=2020 i lp=850</v>
      </c>
      <c r="M95" s="584" t="str">
        <f t="shared" si="17"/>
        <v>rokprognozy=2021 i lp=850</v>
      </c>
      <c r="N95" s="584" t="str">
        <f t="shared" si="18"/>
        <v>rokprognozy=2022 i lp=850</v>
      </c>
      <c r="O95" s="584" t="str">
        <f t="shared" si="18"/>
        <v>rokprognozy=2023 i lp=850</v>
      </c>
      <c r="P95" s="584" t="str">
        <f t="shared" si="18"/>
        <v>rokprognozy=2024 i lp=850</v>
      </c>
      <c r="Q95" s="584" t="str">
        <f t="shared" si="18"/>
        <v>rokprognozy=2025 i lp=850</v>
      </c>
      <c r="R95" s="584" t="str">
        <f t="shared" si="18"/>
        <v>rokprognozy=2026 i lp=850</v>
      </c>
      <c r="S95" s="584" t="str">
        <f t="shared" si="18"/>
        <v>rokprognozy=2027 i lp=850</v>
      </c>
      <c r="T95" s="584" t="str">
        <f t="shared" si="18"/>
        <v>rokprognozy=2028 i lp=850</v>
      </c>
      <c r="U95" s="584" t="str">
        <f t="shared" si="18"/>
        <v>rokprognozy=2029 i lp=850</v>
      </c>
      <c r="V95" s="584" t="str">
        <f t="shared" si="18"/>
        <v>rokprognozy=2030 i lp=850</v>
      </c>
      <c r="W95" s="584" t="str">
        <f t="shared" si="18"/>
        <v>rokprognozy=2031 i lp=850</v>
      </c>
      <c r="X95" s="584" t="str">
        <f t="shared" si="18"/>
        <v>rokprognozy=2032 i lp=850</v>
      </c>
      <c r="Y95" s="584" t="str">
        <f t="shared" si="18"/>
        <v>rokprognozy=2033 i lp=850</v>
      </c>
      <c r="Z95" s="584" t="str">
        <f t="shared" si="18"/>
        <v>rokprognozy=2034 i lp=850</v>
      </c>
      <c r="AA95" s="584" t="str">
        <f t="shared" si="18"/>
        <v>rokprognozy=2035 i lp=850</v>
      </c>
      <c r="AB95" s="584" t="str">
        <f t="shared" si="18"/>
        <v>rokprognozy=2036 i lp=850</v>
      </c>
      <c r="AC95" s="584" t="str">
        <f t="shared" si="18"/>
        <v>rokprognozy=2037 i lp=850</v>
      </c>
      <c r="AD95" s="584" t="str">
        <f t="shared" si="19"/>
        <v>rokprognozy=2038 i lp=850</v>
      </c>
      <c r="AE95" s="584" t="str">
        <f t="shared" si="19"/>
        <v>rokprognozy=2039 i lp=850</v>
      </c>
      <c r="AF95" s="584" t="str">
        <f t="shared" si="19"/>
        <v>rokprognozy=2040 i lp=850</v>
      </c>
      <c r="AG95" s="584" t="str">
        <f t="shared" si="19"/>
        <v>rokprognozy=2041 i lp=850</v>
      </c>
      <c r="AH95" s="584" t="str">
        <f t="shared" si="19"/>
        <v>rokprognozy=2042 i lp=850</v>
      </c>
    </row>
    <row r="96" spans="1:34" ht="12.75">
      <c r="A96" s="583">
        <v>860</v>
      </c>
      <c r="B96" s="583">
        <v>13.7</v>
      </c>
      <c r="C96" s="584" t="s">
        <v>455</v>
      </c>
      <c r="D96" s="584" t="str">
        <f t="shared" si="15"/>
        <v>rokprognozy=2013 i lp=860</v>
      </c>
      <c r="E96" s="584" t="str">
        <f t="shared" si="17"/>
        <v>rokprognozy=2013 i lp=860</v>
      </c>
      <c r="F96" s="584" t="str">
        <f t="shared" si="17"/>
        <v>rokprognozy=2014 i lp=860</v>
      </c>
      <c r="G96" s="584" t="str">
        <f t="shared" si="17"/>
        <v>rokprognozy=2015 i lp=860</v>
      </c>
      <c r="H96" s="584" t="str">
        <f t="shared" si="17"/>
        <v>rokprognozy=2016 i lp=860</v>
      </c>
      <c r="I96" s="584" t="str">
        <f t="shared" si="17"/>
        <v>rokprognozy=2017 i lp=860</v>
      </c>
      <c r="J96" s="584" t="str">
        <f t="shared" si="17"/>
        <v>rokprognozy=2018 i lp=860</v>
      </c>
      <c r="K96" s="584" t="str">
        <f t="shared" si="17"/>
        <v>rokprognozy=2019 i lp=860</v>
      </c>
      <c r="L96" s="584" t="str">
        <f t="shared" si="17"/>
        <v>rokprognozy=2020 i lp=860</v>
      </c>
      <c r="M96" s="584" t="str">
        <f t="shared" si="17"/>
        <v>rokprognozy=2021 i lp=860</v>
      </c>
      <c r="N96" s="584" t="str">
        <f t="shared" si="18"/>
        <v>rokprognozy=2022 i lp=860</v>
      </c>
      <c r="O96" s="584" t="str">
        <f t="shared" si="18"/>
        <v>rokprognozy=2023 i lp=860</v>
      </c>
      <c r="P96" s="584" t="str">
        <f t="shared" si="18"/>
        <v>rokprognozy=2024 i lp=860</v>
      </c>
      <c r="Q96" s="584" t="str">
        <f t="shared" si="18"/>
        <v>rokprognozy=2025 i lp=860</v>
      </c>
      <c r="R96" s="584" t="str">
        <f t="shared" si="18"/>
        <v>rokprognozy=2026 i lp=860</v>
      </c>
      <c r="S96" s="584" t="str">
        <f t="shared" si="18"/>
        <v>rokprognozy=2027 i lp=860</v>
      </c>
      <c r="T96" s="584" t="str">
        <f t="shared" si="18"/>
        <v>rokprognozy=2028 i lp=860</v>
      </c>
      <c r="U96" s="584" t="str">
        <f t="shared" si="18"/>
        <v>rokprognozy=2029 i lp=860</v>
      </c>
      <c r="V96" s="584" t="str">
        <f t="shared" si="18"/>
        <v>rokprognozy=2030 i lp=860</v>
      </c>
      <c r="W96" s="584" t="str">
        <f t="shared" si="18"/>
        <v>rokprognozy=2031 i lp=860</v>
      </c>
      <c r="X96" s="584" t="str">
        <f t="shared" si="18"/>
        <v>rokprognozy=2032 i lp=860</v>
      </c>
      <c r="Y96" s="584" t="str">
        <f t="shared" si="18"/>
        <v>rokprognozy=2033 i lp=860</v>
      </c>
      <c r="Z96" s="584" t="str">
        <f t="shared" si="18"/>
        <v>rokprognozy=2034 i lp=860</v>
      </c>
      <c r="AA96" s="584" t="str">
        <f t="shared" si="18"/>
        <v>rokprognozy=2035 i lp=860</v>
      </c>
      <c r="AB96" s="584" t="str">
        <f t="shared" si="18"/>
        <v>rokprognozy=2036 i lp=860</v>
      </c>
      <c r="AC96" s="584" t="str">
        <f t="shared" si="18"/>
        <v>rokprognozy=2037 i lp=860</v>
      </c>
      <c r="AD96" s="584" t="str">
        <f t="shared" si="19"/>
        <v>rokprognozy=2038 i lp=860</v>
      </c>
      <c r="AE96" s="584" t="str">
        <f t="shared" si="19"/>
        <v>rokprognozy=2039 i lp=860</v>
      </c>
      <c r="AF96" s="584" t="str">
        <f t="shared" si="19"/>
        <v>rokprognozy=2040 i lp=860</v>
      </c>
      <c r="AG96" s="584" t="str">
        <f t="shared" si="19"/>
        <v>rokprognozy=2041 i lp=860</v>
      </c>
      <c r="AH96" s="584" t="str">
        <f t="shared" si="19"/>
        <v>rokprognozy=2042 i lp=860</v>
      </c>
    </row>
    <row r="97" spans="1:34" ht="12.75">
      <c r="A97" s="583">
        <v>870</v>
      </c>
      <c r="B97" s="583">
        <v>14</v>
      </c>
      <c r="C97" s="584" t="s">
        <v>167</v>
      </c>
      <c r="D97" s="584" t="str">
        <f t="shared" si="15"/>
        <v>rokprognozy=2013 i lp=870</v>
      </c>
      <c r="E97" s="584" t="str">
        <f t="shared" si="17"/>
        <v>rokprognozy=2013 i lp=870</v>
      </c>
      <c r="F97" s="584" t="str">
        <f t="shared" si="17"/>
        <v>rokprognozy=2014 i lp=870</v>
      </c>
      <c r="G97" s="584" t="str">
        <f t="shared" si="17"/>
        <v>rokprognozy=2015 i lp=870</v>
      </c>
      <c r="H97" s="584" t="str">
        <f t="shared" si="17"/>
        <v>rokprognozy=2016 i lp=870</v>
      </c>
      <c r="I97" s="584" t="str">
        <f t="shared" si="17"/>
        <v>rokprognozy=2017 i lp=870</v>
      </c>
      <c r="J97" s="584" t="str">
        <f t="shared" si="17"/>
        <v>rokprognozy=2018 i lp=870</v>
      </c>
      <c r="K97" s="584" t="str">
        <f t="shared" si="17"/>
        <v>rokprognozy=2019 i lp=870</v>
      </c>
      <c r="L97" s="584" t="str">
        <f t="shared" si="17"/>
        <v>rokprognozy=2020 i lp=870</v>
      </c>
      <c r="M97" s="584" t="str">
        <f t="shared" si="17"/>
        <v>rokprognozy=2021 i lp=870</v>
      </c>
      <c r="N97" s="584" t="str">
        <f t="shared" si="18"/>
        <v>rokprognozy=2022 i lp=870</v>
      </c>
      <c r="O97" s="584" t="str">
        <f t="shared" si="18"/>
        <v>rokprognozy=2023 i lp=870</v>
      </c>
      <c r="P97" s="584" t="str">
        <f t="shared" si="18"/>
        <v>rokprognozy=2024 i lp=870</v>
      </c>
      <c r="Q97" s="584" t="str">
        <f t="shared" si="18"/>
        <v>rokprognozy=2025 i lp=870</v>
      </c>
      <c r="R97" s="584" t="str">
        <f t="shared" si="18"/>
        <v>rokprognozy=2026 i lp=870</v>
      </c>
      <c r="S97" s="584" t="str">
        <f t="shared" si="18"/>
        <v>rokprognozy=2027 i lp=870</v>
      </c>
      <c r="T97" s="584" t="str">
        <f t="shared" si="18"/>
        <v>rokprognozy=2028 i lp=870</v>
      </c>
      <c r="U97" s="584" t="str">
        <f t="shared" si="18"/>
        <v>rokprognozy=2029 i lp=870</v>
      </c>
      <c r="V97" s="584" t="str">
        <f t="shared" si="18"/>
        <v>rokprognozy=2030 i lp=870</v>
      </c>
      <c r="W97" s="584" t="str">
        <f t="shared" si="18"/>
        <v>rokprognozy=2031 i lp=870</v>
      </c>
      <c r="X97" s="584" t="str">
        <f t="shared" si="18"/>
        <v>rokprognozy=2032 i lp=870</v>
      </c>
      <c r="Y97" s="584" t="str">
        <f t="shared" si="18"/>
        <v>rokprognozy=2033 i lp=870</v>
      </c>
      <c r="Z97" s="584" t="str">
        <f t="shared" si="18"/>
        <v>rokprognozy=2034 i lp=870</v>
      </c>
      <c r="AA97" s="584" t="str">
        <f t="shared" si="18"/>
        <v>rokprognozy=2035 i lp=870</v>
      </c>
      <c r="AB97" s="584" t="str">
        <f t="shared" si="18"/>
        <v>rokprognozy=2036 i lp=870</v>
      </c>
      <c r="AC97" s="584" t="str">
        <f t="shared" si="18"/>
        <v>rokprognozy=2037 i lp=870</v>
      </c>
      <c r="AD97" s="584" t="str">
        <f t="shared" si="19"/>
        <v>rokprognozy=2038 i lp=870</v>
      </c>
      <c r="AE97" s="584" t="str">
        <f t="shared" si="19"/>
        <v>rokprognozy=2039 i lp=870</v>
      </c>
      <c r="AF97" s="584" t="str">
        <f t="shared" si="19"/>
        <v>rokprognozy=2040 i lp=870</v>
      </c>
      <c r="AG97" s="584" t="str">
        <f t="shared" si="19"/>
        <v>rokprognozy=2041 i lp=870</v>
      </c>
      <c r="AH97" s="584" t="str">
        <f t="shared" si="19"/>
        <v>rokprognozy=2042 i lp=870</v>
      </c>
    </row>
    <row r="98" spans="1:34" ht="12.75">
      <c r="A98" s="583">
        <v>880</v>
      </c>
      <c r="B98" s="583">
        <v>14.1</v>
      </c>
      <c r="C98" s="584" t="s">
        <v>456</v>
      </c>
      <c r="D98" s="584" t="str">
        <f t="shared" si="15"/>
        <v>rokprognozy=2013 i lp=880</v>
      </c>
      <c r="E98" s="584" t="str">
        <f t="shared" si="17"/>
        <v>rokprognozy=2013 i lp=880</v>
      </c>
      <c r="F98" s="584" t="str">
        <f t="shared" si="17"/>
        <v>rokprognozy=2014 i lp=880</v>
      </c>
      <c r="G98" s="584" t="str">
        <f t="shared" si="17"/>
        <v>rokprognozy=2015 i lp=880</v>
      </c>
      <c r="H98" s="584" t="str">
        <f t="shared" si="17"/>
        <v>rokprognozy=2016 i lp=880</v>
      </c>
      <c r="I98" s="584" t="str">
        <f t="shared" si="17"/>
        <v>rokprognozy=2017 i lp=880</v>
      </c>
      <c r="J98" s="584" t="str">
        <f t="shared" si="17"/>
        <v>rokprognozy=2018 i lp=880</v>
      </c>
      <c r="K98" s="584" t="str">
        <f t="shared" si="17"/>
        <v>rokprognozy=2019 i lp=880</v>
      </c>
      <c r="L98" s="584" t="str">
        <f t="shared" si="17"/>
        <v>rokprognozy=2020 i lp=880</v>
      </c>
      <c r="M98" s="584" t="str">
        <f t="shared" si="17"/>
        <v>rokprognozy=2021 i lp=880</v>
      </c>
      <c r="N98" s="584" t="str">
        <f t="shared" si="18"/>
        <v>rokprognozy=2022 i lp=880</v>
      </c>
      <c r="O98" s="584" t="str">
        <f t="shared" si="18"/>
        <v>rokprognozy=2023 i lp=880</v>
      </c>
      <c r="P98" s="584" t="str">
        <f t="shared" si="18"/>
        <v>rokprognozy=2024 i lp=880</v>
      </c>
      <c r="Q98" s="584" t="str">
        <f t="shared" si="18"/>
        <v>rokprognozy=2025 i lp=880</v>
      </c>
      <c r="R98" s="584" t="str">
        <f t="shared" si="18"/>
        <v>rokprognozy=2026 i lp=880</v>
      </c>
      <c r="S98" s="584" t="str">
        <f t="shared" si="18"/>
        <v>rokprognozy=2027 i lp=880</v>
      </c>
      <c r="T98" s="584" t="str">
        <f t="shared" si="18"/>
        <v>rokprognozy=2028 i lp=880</v>
      </c>
      <c r="U98" s="584" t="str">
        <f t="shared" si="18"/>
        <v>rokprognozy=2029 i lp=880</v>
      </c>
      <c r="V98" s="584" t="str">
        <f t="shared" si="18"/>
        <v>rokprognozy=2030 i lp=880</v>
      </c>
      <c r="W98" s="584" t="str">
        <f t="shared" si="18"/>
        <v>rokprognozy=2031 i lp=880</v>
      </c>
      <c r="X98" s="584" t="str">
        <f t="shared" si="18"/>
        <v>rokprognozy=2032 i lp=880</v>
      </c>
      <c r="Y98" s="584" t="str">
        <f t="shared" si="18"/>
        <v>rokprognozy=2033 i lp=880</v>
      </c>
      <c r="Z98" s="584" t="str">
        <f t="shared" si="18"/>
        <v>rokprognozy=2034 i lp=880</v>
      </c>
      <c r="AA98" s="584" t="str">
        <f t="shared" si="18"/>
        <v>rokprognozy=2035 i lp=880</v>
      </c>
      <c r="AB98" s="584" t="str">
        <f t="shared" si="18"/>
        <v>rokprognozy=2036 i lp=880</v>
      </c>
      <c r="AC98" s="584" t="str">
        <f t="shared" si="18"/>
        <v>rokprognozy=2037 i lp=880</v>
      </c>
      <c r="AD98" s="584" t="str">
        <f t="shared" si="19"/>
        <v>rokprognozy=2038 i lp=880</v>
      </c>
      <c r="AE98" s="584" t="str">
        <f t="shared" si="19"/>
        <v>rokprognozy=2039 i lp=880</v>
      </c>
      <c r="AF98" s="584" t="str">
        <f t="shared" si="19"/>
        <v>rokprognozy=2040 i lp=880</v>
      </c>
      <c r="AG98" s="584" t="str">
        <f t="shared" si="19"/>
        <v>rokprognozy=2041 i lp=880</v>
      </c>
      <c r="AH98" s="584" t="str">
        <f t="shared" si="19"/>
        <v>rokprognozy=2042 i lp=880</v>
      </c>
    </row>
    <row r="99" spans="1:34" ht="12.75">
      <c r="A99" s="583">
        <v>890</v>
      </c>
      <c r="B99" s="583">
        <v>14.2</v>
      </c>
      <c r="C99" s="584" t="s">
        <v>457</v>
      </c>
      <c r="D99" s="584" t="str">
        <f t="shared" si="15"/>
        <v>rokprognozy=2013 i lp=890</v>
      </c>
      <c r="E99" s="584" t="str">
        <f t="shared" si="17"/>
        <v>rokprognozy=2013 i lp=890</v>
      </c>
      <c r="F99" s="584" t="str">
        <f t="shared" si="17"/>
        <v>rokprognozy=2014 i lp=890</v>
      </c>
      <c r="G99" s="584" t="str">
        <f t="shared" si="17"/>
        <v>rokprognozy=2015 i lp=890</v>
      </c>
      <c r="H99" s="584" t="str">
        <f t="shared" si="17"/>
        <v>rokprognozy=2016 i lp=890</v>
      </c>
      <c r="I99" s="584" t="str">
        <f t="shared" si="17"/>
        <v>rokprognozy=2017 i lp=890</v>
      </c>
      <c r="J99" s="584" t="str">
        <f t="shared" si="17"/>
        <v>rokprognozy=2018 i lp=890</v>
      </c>
      <c r="K99" s="584" t="str">
        <f t="shared" si="17"/>
        <v>rokprognozy=2019 i lp=890</v>
      </c>
      <c r="L99" s="584" t="str">
        <f t="shared" si="17"/>
        <v>rokprognozy=2020 i lp=890</v>
      </c>
      <c r="M99" s="584" t="str">
        <f t="shared" si="17"/>
        <v>rokprognozy=2021 i lp=890</v>
      </c>
      <c r="N99" s="584" t="str">
        <f t="shared" si="18"/>
        <v>rokprognozy=2022 i lp=890</v>
      </c>
      <c r="O99" s="584" t="str">
        <f t="shared" si="18"/>
        <v>rokprognozy=2023 i lp=890</v>
      </c>
      <c r="P99" s="584" t="str">
        <f t="shared" si="18"/>
        <v>rokprognozy=2024 i lp=890</v>
      </c>
      <c r="Q99" s="584" t="str">
        <f t="shared" si="18"/>
        <v>rokprognozy=2025 i lp=890</v>
      </c>
      <c r="R99" s="584" t="str">
        <f t="shared" si="18"/>
        <v>rokprognozy=2026 i lp=890</v>
      </c>
      <c r="S99" s="584" t="str">
        <f t="shared" si="18"/>
        <v>rokprognozy=2027 i lp=890</v>
      </c>
      <c r="T99" s="584" t="str">
        <f t="shared" si="18"/>
        <v>rokprognozy=2028 i lp=890</v>
      </c>
      <c r="U99" s="584" t="str">
        <f t="shared" si="18"/>
        <v>rokprognozy=2029 i lp=890</v>
      </c>
      <c r="V99" s="584" t="str">
        <f t="shared" si="18"/>
        <v>rokprognozy=2030 i lp=890</v>
      </c>
      <c r="W99" s="584" t="str">
        <f t="shared" si="18"/>
        <v>rokprognozy=2031 i lp=890</v>
      </c>
      <c r="X99" s="584" t="str">
        <f t="shared" si="18"/>
        <v>rokprognozy=2032 i lp=890</v>
      </c>
      <c r="Y99" s="584" t="str">
        <f t="shared" si="18"/>
        <v>rokprognozy=2033 i lp=890</v>
      </c>
      <c r="Z99" s="584" t="str">
        <f t="shared" si="18"/>
        <v>rokprognozy=2034 i lp=890</v>
      </c>
      <c r="AA99" s="584" t="str">
        <f t="shared" si="18"/>
        <v>rokprognozy=2035 i lp=890</v>
      </c>
      <c r="AB99" s="584" t="str">
        <f t="shared" si="18"/>
        <v>rokprognozy=2036 i lp=890</v>
      </c>
      <c r="AC99" s="584" t="str">
        <f t="shared" si="18"/>
        <v>rokprognozy=2037 i lp=890</v>
      </c>
      <c r="AD99" s="584" t="str">
        <f t="shared" si="19"/>
        <v>rokprognozy=2038 i lp=890</v>
      </c>
      <c r="AE99" s="584" t="str">
        <f t="shared" si="19"/>
        <v>rokprognozy=2039 i lp=890</v>
      </c>
      <c r="AF99" s="584" t="str">
        <f t="shared" si="19"/>
        <v>rokprognozy=2040 i lp=890</v>
      </c>
      <c r="AG99" s="584" t="str">
        <f t="shared" si="19"/>
        <v>rokprognozy=2041 i lp=890</v>
      </c>
      <c r="AH99" s="584" t="str">
        <f t="shared" si="19"/>
        <v>rokprognozy=2042 i lp=890</v>
      </c>
    </row>
    <row r="100" spans="1:34" ht="12.75">
      <c r="A100" s="583">
        <v>900</v>
      </c>
      <c r="B100" s="583">
        <v>14.3</v>
      </c>
      <c r="C100" s="584" t="s">
        <v>458</v>
      </c>
      <c r="D100" s="584" t="str">
        <f t="shared" si="15"/>
        <v>rokprognozy=2013 i lp=900</v>
      </c>
      <c r="E100" s="584" t="str">
        <f t="shared" si="17"/>
        <v>rokprognozy=2013 i lp=900</v>
      </c>
      <c r="F100" s="584" t="str">
        <f t="shared" si="17"/>
        <v>rokprognozy=2014 i lp=900</v>
      </c>
      <c r="G100" s="584" t="str">
        <f t="shared" si="17"/>
        <v>rokprognozy=2015 i lp=900</v>
      </c>
      <c r="H100" s="584" t="str">
        <f t="shared" si="17"/>
        <v>rokprognozy=2016 i lp=900</v>
      </c>
      <c r="I100" s="584" t="str">
        <f t="shared" si="17"/>
        <v>rokprognozy=2017 i lp=900</v>
      </c>
      <c r="J100" s="584" t="str">
        <f t="shared" si="17"/>
        <v>rokprognozy=2018 i lp=900</v>
      </c>
      <c r="K100" s="584" t="str">
        <f t="shared" si="17"/>
        <v>rokprognozy=2019 i lp=900</v>
      </c>
      <c r="L100" s="584" t="str">
        <f t="shared" si="17"/>
        <v>rokprognozy=2020 i lp=900</v>
      </c>
      <c r="M100" s="584" t="str">
        <f t="shared" si="17"/>
        <v>rokprognozy=2021 i lp=900</v>
      </c>
      <c r="N100" s="584" t="str">
        <f t="shared" si="18"/>
        <v>rokprognozy=2022 i lp=900</v>
      </c>
      <c r="O100" s="584" t="str">
        <f t="shared" si="18"/>
        <v>rokprognozy=2023 i lp=900</v>
      </c>
      <c r="P100" s="584" t="str">
        <f t="shared" si="18"/>
        <v>rokprognozy=2024 i lp=900</v>
      </c>
      <c r="Q100" s="584" t="str">
        <f t="shared" si="18"/>
        <v>rokprognozy=2025 i lp=900</v>
      </c>
      <c r="R100" s="584" t="str">
        <f t="shared" si="18"/>
        <v>rokprognozy=2026 i lp=900</v>
      </c>
      <c r="S100" s="584" t="str">
        <f t="shared" si="18"/>
        <v>rokprognozy=2027 i lp=900</v>
      </c>
      <c r="T100" s="584" t="str">
        <f t="shared" si="18"/>
        <v>rokprognozy=2028 i lp=900</v>
      </c>
      <c r="U100" s="584" t="str">
        <f t="shared" si="18"/>
        <v>rokprognozy=2029 i lp=900</v>
      </c>
      <c r="V100" s="584" t="str">
        <f t="shared" si="18"/>
        <v>rokprognozy=2030 i lp=900</v>
      </c>
      <c r="W100" s="584" t="str">
        <f t="shared" si="18"/>
        <v>rokprognozy=2031 i lp=900</v>
      </c>
      <c r="X100" s="584" t="str">
        <f t="shared" si="18"/>
        <v>rokprognozy=2032 i lp=900</v>
      </c>
      <c r="Y100" s="584" t="str">
        <f t="shared" si="18"/>
        <v>rokprognozy=2033 i lp=900</v>
      </c>
      <c r="Z100" s="584" t="str">
        <f t="shared" si="18"/>
        <v>rokprognozy=2034 i lp=900</v>
      </c>
      <c r="AA100" s="584" t="str">
        <f t="shared" si="18"/>
        <v>rokprognozy=2035 i lp=900</v>
      </c>
      <c r="AB100" s="584" t="str">
        <f t="shared" si="18"/>
        <v>rokprognozy=2036 i lp=900</v>
      </c>
      <c r="AC100" s="584" t="str">
        <f t="shared" si="18"/>
        <v>rokprognozy=2037 i lp=900</v>
      </c>
      <c r="AD100" s="584" t="str">
        <f t="shared" si="19"/>
        <v>rokprognozy=2038 i lp=900</v>
      </c>
      <c r="AE100" s="584" t="str">
        <f t="shared" si="19"/>
        <v>rokprognozy=2039 i lp=900</v>
      </c>
      <c r="AF100" s="584" t="str">
        <f t="shared" si="19"/>
        <v>rokprognozy=2040 i lp=900</v>
      </c>
      <c r="AG100" s="584" t="str">
        <f t="shared" si="19"/>
        <v>rokprognozy=2041 i lp=900</v>
      </c>
      <c r="AH100" s="584" t="str">
        <f t="shared" si="19"/>
        <v>rokprognozy=2042 i lp=900</v>
      </c>
    </row>
    <row r="101" spans="1:34" ht="12.75">
      <c r="A101" s="583">
        <v>910</v>
      </c>
      <c r="B101" s="583" t="s">
        <v>174</v>
      </c>
      <c r="C101" s="584" t="s">
        <v>459</v>
      </c>
      <c r="D101" s="584" t="str">
        <f t="shared" si="15"/>
        <v>rokprognozy=2013 i lp=910</v>
      </c>
      <c r="E101" s="584" t="str">
        <f t="shared" si="17"/>
        <v>rokprognozy=2013 i lp=910</v>
      </c>
      <c r="F101" s="584" t="str">
        <f t="shared" si="17"/>
        <v>rokprognozy=2014 i lp=910</v>
      </c>
      <c r="G101" s="584" t="str">
        <f t="shared" si="17"/>
        <v>rokprognozy=2015 i lp=910</v>
      </c>
      <c r="H101" s="584" t="str">
        <f t="shared" si="17"/>
        <v>rokprognozy=2016 i lp=910</v>
      </c>
      <c r="I101" s="584" t="str">
        <f t="shared" si="17"/>
        <v>rokprognozy=2017 i lp=910</v>
      </c>
      <c r="J101" s="584" t="str">
        <f t="shared" si="17"/>
        <v>rokprognozy=2018 i lp=910</v>
      </c>
      <c r="K101" s="584" t="str">
        <f t="shared" si="17"/>
        <v>rokprognozy=2019 i lp=910</v>
      </c>
      <c r="L101" s="584" t="str">
        <f t="shared" si="17"/>
        <v>rokprognozy=2020 i lp=910</v>
      </c>
      <c r="M101" s="584" t="str">
        <f t="shared" si="17"/>
        <v>rokprognozy=2021 i lp=910</v>
      </c>
      <c r="N101" s="584" t="str">
        <f t="shared" si="18"/>
        <v>rokprognozy=2022 i lp=910</v>
      </c>
      <c r="O101" s="584" t="str">
        <f t="shared" si="18"/>
        <v>rokprognozy=2023 i lp=910</v>
      </c>
      <c r="P101" s="584" t="str">
        <f t="shared" si="18"/>
        <v>rokprognozy=2024 i lp=910</v>
      </c>
      <c r="Q101" s="584" t="str">
        <f t="shared" si="18"/>
        <v>rokprognozy=2025 i lp=910</v>
      </c>
      <c r="R101" s="584" t="str">
        <f t="shared" si="18"/>
        <v>rokprognozy=2026 i lp=910</v>
      </c>
      <c r="S101" s="584" t="str">
        <f t="shared" si="18"/>
        <v>rokprognozy=2027 i lp=910</v>
      </c>
      <c r="T101" s="584" t="str">
        <f t="shared" si="18"/>
        <v>rokprognozy=2028 i lp=910</v>
      </c>
      <c r="U101" s="584" t="str">
        <f t="shared" si="18"/>
        <v>rokprognozy=2029 i lp=910</v>
      </c>
      <c r="V101" s="584" t="str">
        <f t="shared" si="18"/>
        <v>rokprognozy=2030 i lp=910</v>
      </c>
      <c r="W101" s="584" t="str">
        <f t="shared" si="18"/>
        <v>rokprognozy=2031 i lp=910</v>
      </c>
      <c r="X101" s="584" t="str">
        <f t="shared" si="18"/>
        <v>rokprognozy=2032 i lp=910</v>
      </c>
      <c r="Y101" s="584" t="str">
        <f t="shared" si="18"/>
        <v>rokprognozy=2033 i lp=910</v>
      </c>
      <c r="Z101" s="584" t="str">
        <f t="shared" si="18"/>
        <v>rokprognozy=2034 i lp=910</v>
      </c>
      <c r="AA101" s="584" t="str">
        <f t="shared" si="18"/>
        <v>rokprognozy=2035 i lp=910</v>
      </c>
      <c r="AB101" s="584" t="str">
        <f t="shared" si="18"/>
        <v>rokprognozy=2036 i lp=910</v>
      </c>
      <c r="AC101" s="584" t="str">
        <f t="shared" si="18"/>
        <v>rokprognozy=2037 i lp=910</v>
      </c>
      <c r="AD101" s="584" t="str">
        <f t="shared" si="19"/>
        <v>rokprognozy=2038 i lp=910</v>
      </c>
      <c r="AE101" s="584" t="str">
        <f t="shared" si="19"/>
        <v>rokprognozy=2039 i lp=910</v>
      </c>
      <c r="AF101" s="584" t="str">
        <f t="shared" si="19"/>
        <v>rokprognozy=2040 i lp=910</v>
      </c>
      <c r="AG101" s="584" t="str">
        <f t="shared" si="19"/>
        <v>rokprognozy=2041 i lp=910</v>
      </c>
      <c r="AH101" s="584" t="str">
        <f t="shared" si="19"/>
        <v>rokprognozy=2042 i lp=910</v>
      </c>
    </row>
    <row r="102" spans="1:34" ht="12.75">
      <c r="A102" s="583">
        <v>920</v>
      </c>
      <c r="B102" s="583" t="s">
        <v>176</v>
      </c>
      <c r="C102" s="584" t="s">
        <v>460</v>
      </c>
      <c r="D102" s="584" t="str">
        <f t="shared" si="15"/>
        <v>rokprognozy=2013 i lp=920</v>
      </c>
      <c r="E102" s="584" t="str">
        <f t="shared" si="17"/>
        <v>rokprognozy=2013 i lp=920</v>
      </c>
      <c r="F102" s="584" t="str">
        <f t="shared" si="17"/>
        <v>rokprognozy=2014 i lp=920</v>
      </c>
      <c r="G102" s="584" t="str">
        <f t="shared" si="17"/>
        <v>rokprognozy=2015 i lp=920</v>
      </c>
      <c r="H102" s="584" t="str">
        <f t="shared" si="17"/>
        <v>rokprognozy=2016 i lp=920</v>
      </c>
      <c r="I102" s="584" t="str">
        <f t="shared" si="17"/>
        <v>rokprognozy=2017 i lp=920</v>
      </c>
      <c r="J102" s="584" t="str">
        <f t="shared" si="17"/>
        <v>rokprognozy=2018 i lp=920</v>
      </c>
      <c r="K102" s="584" t="str">
        <f t="shared" si="17"/>
        <v>rokprognozy=2019 i lp=920</v>
      </c>
      <c r="L102" s="584" t="str">
        <f t="shared" si="17"/>
        <v>rokprognozy=2020 i lp=920</v>
      </c>
      <c r="M102" s="584" t="str">
        <f t="shared" si="17"/>
        <v>rokprognozy=2021 i lp=920</v>
      </c>
      <c r="N102" s="584" t="str">
        <f t="shared" si="18"/>
        <v>rokprognozy=2022 i lp=920</v>
      </c>
      <c r="O102" s="584" t="str">
        <f t="shared" si="18"/>
        <v>rokprognozy=2023 i lp=920</v>
      </c>
      <c r="P102" s="584" t="str">
        <f t="shared" si="18"/>
        <v>rokprognozy=2024 i lp=920</v>
      </c>
      <c r="Q102" s="584" t="str">
        <f t="shared" si="18"/>
        <v>rokprognozy=2025 i lp=920</v>
      </c>
      <c r="R102" s="584" t="str">
        <f t="shared" si="18"/>
        <v>rokprognozy=2026 i lp=920</v>
      </c>
      <c r="S102" s="584" t="str">
        <f t="shared" si="18"/>
        <v>rokprognozy=2027 i lp=920</v>
      </c>
      <c r="T102" s="584" t="str">
        <f t="shared" si="18"/>
        <v>rokprognozy=2028 i lp=920</v>
      </c>
      <c r="U102" s="584" t="str">
        <f t="shared" si="18"/>
        <v>rokprognozy=2029 i lp=920</v>
      </c>
      <c r="V102" s="584" t="str">
        <f t="shared" si="18"/>
        <v>rokprognozy=2030 i lp=920</v>
      </c>
      <c r="W102" s="584" t="str">
        <f t="shared" si="18"/>
        <v>rokprognozy=2031 i lp=920</v>
      </c>
      <c r="X102" s="584" t="str">
        <f t="shared" si="18"/>
        <v>rokprognozy=2032 i lp=920</v>
      </c>
      <c r="Y102" s="584" t="str">
        <f t="shared" si="18"/>
        <v>rokprognozy=2033 i lp=920</v>
      </c>
      <c r="Z102" s="584" t="str">
        <f t="shared" si="18"/>
        <v>rokprognozy=2034 i lp=920</v>
      </c>
      <c r="AA102" s="584" t="str">
        <f t="shared" si="18"/>
        <v>rokprognozy=2035 i lp=920</v>
      </c>
      <c r="AB102" s="584" t="str">
        <f t="shared" si="18"/>
        <v>rokprognozy=2036 i lp=920</v>
      </c>
      <c r="AC102" s="584" t="str">
        <f t="shared" si="18"/>
        <v>rokprognozy=2037 i lp=920</v>
      </c>
      <c r="AD102" s="584" t="str">
        <f t="shared" si="19"/>
        <v>rokprognozy=2038 i lp=920</v>
      </c>
      <c r="AE102" s="584" t="str">
        <f t="shared" si="19"/>
        <v>rokprognozy=2039 i lp=920</v>
      </c>
      <c r="AF102" s="584" t="str">
        <f t="shared" si="19"/>
        <v>rokprognozy=2040 i lp=920</v>
      </c>
      <c r="AG102" s="584" t="str">
        <f t="shared" si="19"/>
        <v>rokprognozy=2041 i lp=920</v>
      </c>
      <c r="AH102" s="584" t="str">
        <f t="shared" si="19"/>
        <v>rokprognozy=2042 i lp=920</v>
      </c>
    </row>
    <row r="103" spans="1:34" ht="12.75">
      <c r="A103" s="583">
        <v>930</v>
      </c>
      <c r="B103" s="583" t="s">
        <v>178</v>
      </c>
      <c r="C103" s="584" t="s">
        <v>461</v>
      </c>
      <c r="D103" s="584" t="str">
        <f t="shared" si="15"/>
        <v>rokprognozy=2013 i lp=930</v>
      </c>
      <c r="E103" s="584" t="str">
        <f t="shared" si="17"/>
        <v>rokprognozy=2013 i lp=930</v>
      </c>
      <c r="F103" s="584" t="str">
        <f t="shared" si="17"/>
        <v>rokprognozy=2014 i lp=930</v>
      </c>
      <c r="G103" s="584" t="str">
        <f t="shared" si="17"/>
        <v>rokprognozy=2015 i lp=930</v>
      </c>
      <c r="H103" s="584" t="str">
        <f t="shared" si="17"/>
        <v>rokprognozy=2016 i lp=930</v>
      </c>
      <c r="I103" s="584" t="str">
        <f t="shared" si="17"/>
        <v>rokprognozy=2017 i lp=930</v>
      </c>
      <c r="J103" s="584" t="str">
        <f t="shared" si="17"/>
        <v>rokprognozy=2018 i lp=930</v>
      </c>
      <c r="K103" s="584" t="str">
        <f t="shared" si="17"/>
        <v>rokprognozy=2019 i lp=930</v>
      </c>
      <c r="L103" s="584" t="str">
        <f t="shared" si="17"/>
        <v>rokprognozy=2020 i lp=930</v>
      </c>
      <c r="M103" s="584" t="str">
        <f t="shared" si="17"/>
        <v>rokprognozy=2021 i lp=930</v>
      </c>
      <c r="N103" s="584" t="str">
        <f t="shared" si="18"/>
        <v>rokprognozy=2022 i lp=930</v>
      </c>
      <c r="O103" s="584" t="str">
        <f t="shared" si="18"/>
        <v>rokprognozy=2023 i lp=930</v>
      </c>
      <c r="P103" s="584" t="str">
        <f t="shared" si="18"/>
        <v>rokprognozy=2024 i lp=930</v>
      </c>
      <c r="Q103" s="584" t="str">
        <f t="shared" si="18"/>
        <v>rokprognozy=2025 i lp=930</v>
      </c>
      <c r="R103" s="584" t="str">
        <f t="shared" si="18"/>
        <v>rokprognozy=2026 i lp=930</v>
      </c>
      <c r="S103" s="584" t="str">
        <f t="shared" si="18"/>
        <v>rokprognozy=2027 i lp=930</v>
      </c>
      <c r="T103" s="584" t="str">
        <f t="shared" si="18"/>
        <v>rokprognozy=2028 i lp=930</v>
      </c>
      <c r="U103" s="584" t="str">
        <f t="shared" si="18"/>
        <v>rokprognozy=2029 i lp=930</v>
      </c>
      <c r="V103" s="584" t="str">
        <f t="shared" si="18"/>
        <v>rokprognozy=2030 i lp=930</v>
      </c>
      <c r="W103" s="584" t="str">
        <f t="shared" si="18"/>
        <v>rokprognozy=2031 i lp=930</v>
      </c>
      <c r="X103" s="584" t="str">
        <f t="shared" si="18"/>
        <v>rokprognozy=2032 i lp=930</v>
      </c>
      <c r="Y103" s="584" t="str">
        <f t="shared" si="18"/>
        <v>rokprognozy=2033 i lp=930</v>
      </c>
      <c r="Z103" s="584" t="str">
        <f t="shared" si="18"/>
        <v>rokprognozy=2034 i lp=930</v>
      </c>
      <c r="AA103" s="584" t="str">
        <f t="shared" si="18"/>
        <v>rokprognozy=2035 i lp=930</v>
      </c>
      <c r="AB103" s="584" t="str">
        <f t="shared" si="18"/>
        <v>rokprognozy=2036 i lp=930</v>
      </c>
      <c r="AC103" s="584" t="str">
        <f t="shared" si="18"/>
        <v>rokprognozy=2037 i lp=930</v>
      </c>
      <c r="AD103" s="584" t="str">
        <f t="shared" si="19"/>
        <v>rokprognozy=2038 i lp=930</v>
      </c>
      <c r="AE103" s="584" t="str">
        <f t="shared" si="19"/>
        <v>rokprognozy=2039 i lp=930</v>
      </c>
      <c r="AF103" s="584" t="str">
        <f t="shared" si="19"/>
        <v>rokprognozy=2040 i lp=930</v>
      </c>
      <c r="AG103" s="584" t="str">
        <f t="shared" si="19"/>
        <v>rokprognozy=2041 i lp=930</v>
      </c>
      <c r="AH103" s="584" t="str">
        <f t="shared" si="19"/>
        <v>rokprognozy=2042 i lp=930</v>
      </c>
    </row>
    <row r="104" spans="1:34" ht="12.75">
      <c r="A104" s="583">
        <v>940</v>
      </c>
      <c r="B104" s="583">
        <v>14.4</v>
      </c>
      <c r="C104" s="584" t="s">
        <v>462</v>
      </c>
      <c r="D104" s="584" t="str">
        <f t="shared" si="15"/>
        <v>rokprognozy=2013 i lp=940</v>
      </c>
      <c r="E104" s="584" t="str">
        <f t="shared" si="17"/>
        <v>rokprognozy=2013 i lp=940</v>
      </c>
      <c r="F104" s="584" t="str">
        <f t="shared" si="17"/>
        <v>rokprognozy=2014 i lp=940</v>
      </c>
      <c r="G104" s="584" t="str">
        <f t="shared" si="17"/>
        <v>rokprognozy=2015 i lp=940</v>
      </c>
      <c r="H104" s="584" t="str">
        <f t="shared" si="17"/>
        <v>rokprognozy=2016 i lp=940</v>
      </c>
      <c r="I104" s="584" t="str">
        <f t="shared" si="17"/>
        <v>rokprognozy=2017 i lp=940</v>
      </c>
      <c r="J104" s="584" t="str">
        <f t="shared" si="17"/>
        <v>rokprognozy=2018 i lp=940</v>
      </c>
      <c r="K104" s="584" t="str">
        <f t="shared" si="17"/>
        <v>rokprognozy=2019 i lp=940</v>
      </c>
      <c r="L104" s="584" t="str">
        <f t="shared" si="17"/>
        <v>rokprognozy=2020 i lp=940</v>
      </c>
      <c r="M104" s="584" t="str">
        <f t="shared" si="17"/>
        <v>rokprognozy=2021 i lp=940</v>
      </c>
      <c r="N104" s="584" t="str">
        <f t="shared" si="18"/>
        <v>rokprognozy=2022 i lp=940</v>
      </c>
      <c r="O104" s="584" t="str">
        <f t="shared" si="18"/>
        <v>rokprognozy=2023 i lp=940</v>
      </c>
      <c r="P104" s="584" t="str">
        <f t="shared" si="18"/>
        <v>rokprognozy=2024 i lp=940</v>
      </c>
      <c r="Q104" s="584" t="str">
        <f t="shared" si="18"/>
        <v>rokprognozy=2025 i lp=940</v>
      </c>
      <c r="R104" s="584" t="str">
        <f t="shared" si="18"/>
        <v>rokprognozy=2026 i lp=940</v>
      </c>
      <c r="S104" s="584" t="str">
        <f t="shared" si="18"/>
        <v>rokprognozy=2027 i lp=940</v>
      </c>
      <c r="T104" s="584" t="str">
        <f aca="true" t="shared" si="20" ref="T104:AC104">+"rokprognozy="&amp;T$9&amp;" i lp="&amp;$A104</f>
        <v>rokprognozy=2028 i lp=940</v>
      </c>
      <c r="U104" s="584" t="str">
        <f t="shared" si="20"/>
        <v>rokprognozy=2029 i lp=940</v>
      </c>
      <c r="V104" s="584" t="str">
        <f t="shared" si="20"/>
        <v>rokprognozy=2030 i lp=940</v>
      </c>
      <c r="W104" s="584" t="str">
        <f t="shared" si="20"/>
        <v>rokprognozy=2031 i lp=940</v>
      </c>
      <c r="X104" s="584" t="str">
        <f t="shared" si="20"/>
        <v>rokprognozy=2032 i lp=940</v>
      </c>
      <c r="Y104" s="584" t="str">
        <f t="shared" si="20"/>
        <v>rokprognozy=2033 i lp=940</v>
      </c>
      <c r="Z104" s="584" t="str">
        <f t="shared" si="20"/>
        <v>rokprognozy=2034 i lp=940</v>
      </c>
      <c r="AA104" s="584" t="str">
        <f t="shared" si="20"/>
        <v>rokprognozy=2035 i lp=940</v>
      </c>
      <c r="AB104" s="584" t="str">
        <f t="shared" si="20"/>
        <v>rokprognozy=2036 i lp=940</v>
      </c>
      <c r="AC104" s="584" t="str">
        <f t="shared" si="20"/>
        <v>rokprognozy=2037 i lp=940</v>
      </c>
      <c r="AD104" s="584" t="str">
        <f t="shared" si="19"/>
        <v>rokprognozy=2038 i lp=940</v>
      </c>
      <c r="AE104" s="584" t="str">
        <f t="shared" si="19"/>
        <v>rokprognozy=2039 i lp=940</v>
      </c>
      <c r="AF104" s="584" t="str">
        <f t="shared" si="19"/>
        <v>rokprognozy=2040 i lp=940</v>
      </c>
      <c r="AG104" s="584" t="str">
        <f t="shared" si="19"/>
        <v>rokprognozy=2041 i lp=940</v>
      </c>
      <c r="AH104" s="584" t="str">
        <f t="shared" si="19"/>
        <v>rokprognozy=2042 i lp=940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62"/>
  <sheetViews>
    <sheetView workbookViewId="0" topLeftCell="A1">
      <selection activeCell="O4" sqref="O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3" max="13" width="16.8984375" style="0" customWidth="1"/>
    <col min="16" max="16" width="12.5" style="0" customWidth="1"/>
  </cols>
  <sheetData>
    <row r="1" spans="1:16" ht="12.75">
      <c r="A1" s="275" t="s">
        <v>463</v>
      </c>
      <c r="L1" s="585" t="s">
        <v>464</v>
      </c>
      <c r="M1" s="586">
        <f>MIN(L:L)</f>
        <v>2013</v>
      </c>
      <c r="O1" t="s">
        <v>465</v>
      </c>
      <c r="P1" s="587">
        <f>MAX(L:L)</f>
        <v>2029</v>
      </c>
    </row>
    <row r="3" spans="1:15" ht="12.75">
      <c r="A3" s="588" t="s">
        <v>466</v>
      </c>
      <c r="B3" s="589" t="s">
        <v>467</v>
      </c>
      <c r="C3" s="589" t="s">
        <v>468</v>
      </c>
      <c r="D3" s="589" t="s">
        <v>469</v>
      </c>
      <c r="E3" s="589" t="s">
        <v>470</v>
      </c>
      <c r="F3" s="589" t="s">
        <v>471</v>
      </c>
      <c r="G3" s="589" t="s">
        <v>472</v>
      </c>
      <c r="H3" s="589" t="s">
        <v>473</v>
      </c>
      <c r="I3" s="589" t="s">
        <v>474</v>
      </c>
      <c r="J3" s="589" t="s">
        <v>475</v>
      </c>
      <c r="K3" s="589" t="s">
        <v>476</v>
      </c>
      <c r="L3" s="589" t="s">
        <v>477</v>
      </c>
      <c r="M3" s="589" t="s">
        <v>478</v>
      </c>
      <c r="N3" s="589" t="s">
        <v>479</v>
      </c>
      <c r="O3" s="589" t="s">
        <v>480</v>
      </c>
    </row>
    <row r="4" spans="1:15" ht="12.75">
      <c r="A4" s="590">
        <v>2013</v>
      </c>
      <c r="B4" s="591" t="s">
        <v>481</v>
      </c>
      <c r="C4" s="591" t="s">
        <v>482</v>
      </c>
      <c r="D4" s="592">
        <v>1021011</v>
      </c>
      <c r="E4" s="592">
        <v>1</v>
      </c>
      <c r="F4" s="592"/>
      <c r="G4" s="592">
        <v>20</v>
      </c>
      <c r="H4" s="592">
        <v>1.1</v>
      </c>
      <c r="I4" s="592"/>
      <c r="J4" s="592" t="s">
        <v>383</v>
      </c>
      <c r="K4" s="593" t="b">
        <f>TRUE</f>
        <v>1</v>
      </c>
      <c r="L4" s="594">
        <v>2013</v>
      </c>
      <c r="M4" s="595">
        <v>31028455.51</v>
      </c>
      <c r="N4" s="596">
        <v>41361</v>
      </c>
      <c r="O4" s="596">
        <v>41361</v>
      </c>
    </row>
    <row r="5" spans="1:15" ht="12.75">
      <c r="A5" s="590">
        <v>2013</v>
      </c>
      <c r="B5" s="591" t="s">
        <v>481</v>
      </c>
      <c r="C5" s="591" t="s">
        <v>482</v>
      </c>
      <c r="D5" s="592">
        <v>1021011</v>
      </c>
      <c r="E5" s="592">
        <v>1</v>
      </c>
      <c r="F5" s="592"/>
      <c r="G5" s="592">
        <v>20</v>
      </c>
      <c r="H5" s="592">
        <v>1.1</v>
      </c>
      <c r="I5" s="592"/>
      <c r="J5" s="592" t="s">
        <v>383</v>
      </c>
      <c r="K5" s="593" t="b">
        <f>TRUE</f>
        <v>1</v>
      </c>
      <c r="L5" s="594">
        <v>2014</v>
      </c>
      <c r="M5" s="595">
        <v>30722594.71</v>
      </c>
      <c r="N5" s="596">
        <v>41361</v>
      </c>
      <c r="O5" s="596">
        <v>41361</v>
      </c>
    </row>
    <row r="6" spans="1:15" ht="12.75">
      <c r="A6" s="590">
        <v>2013</v>
      </c>
      <c r="B6" s="591" t="s">
        <v>481</v>
      </c>
      <c r="C6" s="591" t="s">
        <v>482</v>
      </c>
      <c r="D6" s="592">
        <v>1021011</v>
      </c>
      <c r="E6" s="592">
        <v>1</v>
      </c>
      <c r="F6" s="592"/>
      <c r="G6" s="592">
        <v>20</v>
      </c>
      <c r="H6" s="592">
        <v>1.1</v>
      </c>
      <c r="I6" s="592"/>
      <c r="J6" s="592" t="s">
        <v>383</v>
      </c>
      <c r="K6" s="593" t="b">
        <f>TRUE</f>
        <v>1</v>
      </c>
      <c r="L6" s="594">
        <v>2015</v>
      </c>
      <c r="M6" s="595">
        <v>31000000</v>
      </c>
      <c r="N6" s="596">
        <v>41361</v>
      </c>
      <c r="O6" s="596">
        <v>41361</v>
      </c>
    </row>
    <row r="7" spans="1:15" ht="12.75">
      <c r="A7" s="590">
        <v>2013</v>
      </c>
      <c r="B7" s="591" t="s">
        <v>481</v>
      </c>
      <c r="C7" s="591" t="s">
        <v>482</v>
      </c>
      <c r="D7" s="592">
        <v>1021011</v>
      </c>
      <c r="E7" s="592">
        <v>1</v>
      </c>
      <c r="F7" s="592"/>
      <c r="G7" s="592">
        <v>20</v>
      </c>
      <c r="H7" s="592">
        <v>1.1</v>
      </c>
      <c r="I7" s="592"/>
      <c r="J7" s="592" t="s">
        <v>383</v>
      </c>
      <c r="K7" s="593" t="b">
        <f>TRUE</f>
        <v>1</v>
      </c>
      <c r="L7" s="594">
        <v>2016</v>
      </c>
      <c r="M7" s="595">
        <v>31500000</v>
      </c>
      <c r="N7" s="596">
        <v>41361</v>
      </c>
      <c r="O7" s="596">
        <v>41361</v>
      </c>
    </row>
    <row r="8" spans="1:15" ht="12.75">
      <c r="A8" s="590">
        <v>2013</v>
      </c>
      <c r="B8" s="591" t="s">
        <v>481</v>
      </c>
      <c r="C8" s="591" t="s">
        <v>482</v>
      </c>
      <c r="D8" s="592">
        <v>1021011</v>
      </c>
      <c r="E8" s="592">
        <v>1</v>
      </c>
      <c r="F8" s="592"/>
      <c r="G8" s="592">
        <v>20</v>
      </c>
      <c r="H8" s="592">
        <v>1.1</v>
      </c>
      <c r="I8" s="592"/>
      <c r="J8" s="592" t="s">
        <v>383</v>
      </c>
      <c r="K8" s="593" t="b">
        <f>TRUE</f>
        <v>1</v>
      </c>
      <c r="L8" s="594">
        <v>2017</v>
      </c>
      <c r="M8" s="595">
        <v>32000000</v>
      </c>
      <c r="N8" s="596">
        <v>41361</v>
      </c>
      <c r="O8" s="596">
        <v>41361</v>
      </c>
    </row>
    <row r="9" spans="1:15" ht="12.75">
      <c r="A9" s="590">
        <v>2013</v>
      </c>
      <c r="B9" s="591" t="s">
        <v>481</v>
      </c>
      <c r="C9" s="591" t="s">
        <v>482</v>
      </c>
      <c r="D9" s="592">
        <v>1021011</v>
      </c>
      <c r="E9" s="592">
        <v>1</v>
      </c>
      <c r="F9" s="592"/>
      <c r="G9" s="592">
        <v>20</v>
      </c>
      <c r="H9" s="592">
        <v>1.1</v>
      </c>
      <c r="I9" s="592"/>
      <c r="J9" s="592" t="s">
        <v>383</v>
      </c>
      <c r="K9" s="593" t="b">
        <f>TRUE</f>
        <v>1</v>
      </c>
      <c r="L9" s="594">
        <v>2018</v>
      </c>
      <c r="M9" s="595">
        <v>32500000</v>
      </c>
      <c r="N9" s="596">
        <v>41361</v>
      </c>
      <c r="O9" s="596">
        <v>41361</v>
      </c>
    </row>
    <row r="10" spans="1:15" ht="12.75">
      <c r="A10" s="590">
        <v>2013</v>
      </c>
      <c r="B10" s="591" t="s">
        <v>481</v>
      </c>
      <c r="C10" s="591" t="s">
        <v>482</v>
      </c>
      <c r="D10" s="592">
        <v>1021011</v>
      </c>
      <c r="E10" s="592">
        <v>1</v>
      </c>
      <c r="F10" s="592"/>
      <c r="G10" s="592">
        <v>20</v>
      </c>
      <c r="H10" s="592">
        <v>1.1</v>
      </c>
      <c r="I10" s="592"/>
      <c r="J10" s="592" t="s">
        <v>383</v>
      </c>
      <c r="K10" s="593" t="b">
        <f>TRUE</f>
        <v>1</v>
      </c>
      <c r="L10" s="594">
        <v>2019</v>
      </c>
      <c r="M10" s="595">
        <v>33000000</v>
      </c>
      <c r="N10" s="596">
        <v>41361</v>
      </c>
      <c r="O10" s="596">
        <v>41361</v>
      </c>
    </row>
    <row r="11" spans="1:15" ht="12.75">
      <c r="A11" s="590">
        <v>2013</v>
      </c>
      <c r="B11" s="591" t="s">
        <v>481</v>
      </c>
      <c r="C11" s="591" t="s">
        <v>482</v>
      </c>
      <c r="D11" s="592">
        <v>1021011</v>
      </c>
      <c r="E11" s="592">
        <v>1</v>
      </c>
      <c r="F11" s="592"/>
      <c r="G11" s="592">
        <v>20</v>
      </c>
      <c r="H11" s="592">
        <v>1.1</v>
      </c>
      <c r="I11" s="592"/>
      <c r="J11" s="592" t="s">
        <v>383</v>
      </c>
      <c r="K11" s="593" t="b">
        <f>TRUE</f>
        <v>1</v>
      </c>
      <c r="L11" s="594">
        <v>2020</v>
      </c>
      <c r="M11" s="595">
        <v>33500000</v>
      </c>
      <c r="N11" s="596">
        <v>41361</v>
      </c>
      <c r="O11" s="596">
        <v>41361</v>
      </c>
    </row>
    <row r="12" spans="1:15" ht="12.75">
      <c r="A12" s="590">
        <v>2013</v>
      </c>
      <c r="B12" s="591" t="s">
        <v>481</v>
      </c>
      <c r="C12" s="591" t="s">
        <v>482</v>
      </c>
      <c r="D12" s="592">
        <v>1021011</v>
      </c>
      <c r="E12" s="592">
        <v>1</v>
      </c>
      <c r="F12" s="592"/>
      <c r="G12" s="592">
        <v>20</v>
      </c>
      <c r="H12" s="592">
        <v>1.1</v>
      </c>
      <c r="I12" s="592"/>
      <c r="J12" s="592" t="s">
        <v>383</v>
      </c>
      <c r="K12" s="593" t="b">
        <f>TRUE</f>
        <v>1</v>
      </c>
      <c r="L12" s="594">
        <v>2021</v>
      </c>
      <c r="M12" s="595">
        <v>34000000</v>
      </c>
      <c r="N12" s="596">
        <v>41361</v>
      </c>
      <c r="O12" s="596">
        <v>41361</v>
      </c>
    </row>
    <row r="13" spans="1:15" ht="12.75">
      <c r="A13" s="590">
        <v>2013</v>
      </c>
      <c r="B13" s="591" t="s">
        <v>481</v>
      </c>
      <c r="C13" s="591" t="s">
        <v>482</v>
      </c>
      <c r="D13" s="592">
        <v>1021011</v>
      </c>
      <c r="E13" s="592">
        <v>1</v>
      </c>
      <c r="F13" s="592"/>
      <c r="G13" s="592">
        <v>20</v>
      </c>
      <c r="H13" s="592">
        <v>1.1</v>
      </c>
      <c r="I13" s="592"/>
      <c r="J13" s="592" t="s">
        <v>383</v>
      </c>
      <c r="K13" s="593" t="b">
        <f>TRUE</f>
        <v>1</v>
      </c>
      <c r="L13" s="594">
        <v>2022</v>
      </c>
      <c r="M13" s="595">
        <v>34500000</v>
      </c>
      <c r="N13" s="596">
        <v>41361</v>
      </c>
      <c r="O13" s="596">
        <v>41361</v>
      </c>
    </row>
    <row r="14" spans="1:15" ht="12.75">
      <c r="A14" s="590">
        <v>2013</v>
      </c>
      <c r="B14" s="591" t="s">
        <v>481</v>
      </c>
      <c r="C14" s="591" t="s">
        <v>482</v>
      </c>
      <c r="D14" s="592">
        <v>1021011</v>
      </c>
      <c r="E14" s="592">
        <v>1</v>
      </c>
      <c r="F14" s="592"/>
      <c r="G14" s="592">
        <v>20</v>
      </c>
      <c r="H14" s="592">
        <v>1.1</v>
      </c>
      <c r="I14" s="592"/>
      <c r="J14" s="592" t="s">
        <v>383</v>
      </c>
      <c r="K14" s="593" t="b">
        <f>TRUE</f>
        <v>1</v>
      </c>
      <c r="L14" s="594">
        <v>2023</v>
      </c>
      <c r="M14" s="595">
        <v>35000000</v>
      </c>
      <c r="N14" s="596">
        <v>41361</v>
      </c>
      <c r="O14" s="596">
        <v>41361</v>
      </c>
    </row>
    <row r="15" spans="1:15" ht="12.75">
      <c r="A15" s="590">
        <v>2013</v>
      </c>
      <c r="B15" s="591" t="s">
        <v>481</v>
      </c>
      <c r="C15" s="591" t="s">
        <v>482</v>
      </c>
      <c r="D15" s="592">
        <v>1021011</v>
      </c>
      <c r="E15" s="592">
        <v>1</v>
      </c>
      <c r="F15" s="592"/>
      <c r="G15" s="592">
        <v>20</v>
      </c>
      <c r="H15" s="592">
        <v>1.1</v>
      </c>
      <c r="I15" s="592"/>
      <c r="J15" s="592" t="s">
        <v>383</v>
      </c>
      <c r="K15" s="593" t="b">
        <f>TRUE</f>
        <v>1</v>
      </c>
      <c r="L15" s="594">
        <v>2024</v>
      </c>
      <c r="M15" s="595">
        <v>35500000</v>
      </c>
      <c r="N15" s="596">
        <v>41361</v>
      </c>
      <c r="O15" s="596">
        <v>41361</v>
      </c>
    </row>
    <row r="16" spans="1:15" ht="12.75">
      <c r="A16" s="590">
        <v>2013</v>
      </c>
      <c r="B16" s="591" t="s">
        <v>481</v>
      </c>
      <c r="C16" s="591" t="s">
        <v>482</v>
      </c>
      <c r="D16" s="592">
        <v>1021011</v>
      </c>
      <c r="E16" s="592">
        <v>1</v>
      </c>
      <c r="F16" s="592"/>
      <c r="G16" s="592">
        <v>20</v>
      </c>
      <c r="H16" s="592">
        <v>1.1</v>
      </c>
      <c r="I16" s="592"/>
      <c r="J16" s="592" t="s">
        <v>383</v>
      </c>
      <c r="K16" s="593" t="b">
        <f>TRUE</f>
        <v>1</v>
      </c>
      <c r="L16" s="594">
        <v>2025</v>
      </c>
      <c r="M16" s="595">
        <v>36000000</v>
      </c>
      <c r="N16" s="596">
        <v>41361</v>
      </c>
      <c r="O16" s="596">
        <v>41361</v>
      </c>
    </row>
    <row r="17" spans="1:15" ht="12.75">
      <c r="A17" s="590">
        <v>2013</v>
      </c>
      <c r="B17" s="591" t="s">
        <v>481</v>
      </c>
      <c r="C17" s="591" t="s">
        <v>482</v>
      </c>
      <c r="D17" s="592">
        <v>1021011</v>
      </c>
      <c r="E17" s="592">
        <v>1</v>
      </c>
      <c r="F17" s="592"/>
      <c r="G17" s="592">
        <v>20</v>
      </c>
      <c r="H17" s="592">
        <v>1.1</v>
      </c>
      <c r="I17" s="592"/>
      <c r="J17" s="592" t="s">
        <v>383</v>
      </c>
      <c r="K17" s="593" t="b">
        <f>TRUE</f>
        <v>1</v>
      </c>
      <c r="L17" s="594">
        <v>2026</v>
      </c>
      <c r="M17" s="595">
        <v>36500000</v>
      </c>
      <c r="N17" s="596">
        <v>41361</v>
      </c>
      <c r="O17" s="596">
        <v>41361</v>
      </c>
    </row>
    <row r="18" spans="1:15" ht="12.75">
      <c r="A18" s="590">
        <v>2013</v>
      </c>
      <c r="B18" s="591" t="s">
        <v>481</v>
      </c>
      <c r="C18" s="591" t="s">
        <v>482</v>
      </c>
      <c r="D18" s="592">
        <v>1021011</v>
      </c>
      <c r="E18" s="592">
        <v>1</v>
      </c>
      <c r="F18" s="592"/>
      <c r="G18" s="592">
        <v>20</v>
      </c>
      <c r="H18" s="592">
        <v>1.1</v>
      </c>
      <c r="I18" s="592"/>
      <c r="J18" s="592" t="s">
        <v>383</v>
      </c>
      <c r="K18" s="593" t="b">
        <f>TRUE</f>
        <v>1</v>
      </c>
      <c r="L18" s="594">
        <v>2027</v>
      </c>
      <c r="M18" s="595">
        <v>37000000</v>
      </c>
      <c r="N18" s="596">
        <v>41361</v>
      </c>
      <c r="O18" s="596">
        <v>41361</v>
      </c>
    </row>
    <row r="19" spans="1:15" ht="12.75">
      <c r="A19" s="590">
        <v>2013</v>
      </c>
      <c r="B19" s="591" t="s">
        <v>481</v>
      </c>
      <c r="C19" s="591" t="s">
        <v>482</v>
      </c>
      <c r="D19" s="592">
        <v>1021011</v>
      </c>
      <c r="E19" s="592">
        <v>1</v>
      </c>
      <c r="F19" s="592"/>
      <c r="G19" s="592">
        <v>20</v>
      </c>
      <c r="H19" s="592">
        <v>1.1</v>
      </c>
      <c r="I19" s="592"/>
      <c r="J19" s="592" t="s">
        <v>383</v>
      </c>
      <c r="K19" s="593" t="b">
        <f>TRUE</f>
        <v>1</v>
      </c>
      <c r="L19" s="594">
        <v>2028</v>
      </c>
      <c r="M19" s="595">
        <v>37500000</v>
      </c>
      <c r="N19" s="596">
        <v>41361</v>
      </c>
      <c r="O19" s="596">
        <v>41361</v>
      </c>
    </row>
    <row r="20" spans="1:15" ht="12.75">
      <c r="A20" s="590">
        <v>2013</v>
      </c>
      <c r="B20" s="591" t="s">
        <v>481</v>
      </c>
      <c r="C20" s="591" t="s">
        <v>482</v>
      </c>
      <c r="D20" s="592">
        <v>1021011</v>
      </c>
      <c r="E20" s="592">
        <v>1</v>
      </c>
      <c r="F20" s="592"/>
      <c r="G20" s="592">
        <v>20</v>
      </c>
      <c r="H20" s="592">
        <v>1.1</v>
      </c>
      <c r="I20" s="592"/>
      <c r="J20" s="592" t="s">
        <v>383</v>
      </c>
      <c r="K20" s="593" t="b">
        <f>TRUE</f>
        <v>1</v>
      </c>
      <c r="L20" s="594">
        <v>2029</v>
      </c>
      <c r="M20" s="595">
        <v>38000000</v>
      </c>
      <c r="N20" s="596">
        <v>41361</v>
      </c>
      <c r="O20" s="596">
        <v>41361</v>
      </c>
    </row>
    <row r="21" spans="1:15" ht="12.75">
      <c r="A21" s="590">
        <v>2013</v>
      </c>
      <c r="B21" s="591" t="s">
        <v>481</v>
      </c>
      <c r="C21" s="591" t="s">
        <v>482</v>
      </c>
      <c r="D21" s="592">
        <v>1021011</v>
      </c>
      <c r="E21" s="592">
        <v>1</v>
      </c>
      <c r="F21" s="592"/>
      <c r="G21" s="592">
        <v>60</v>
      </c>
      <c r="H21" s="592" t="s">
        <v>18</v>
      </c>
      <c r="I21" s="592"/>
      <c r="J21" s="592" t="s">
        <v>387</v>
      </c>
      <c r="K21" s="593" t="b">
        <f>TRUE</f>
        <v>1</v>
      </c>
      <c r="L21" s="594">
        <v>2013</v>
      </c>
      <c r="M21" s="595">
        <v>3722743.3</v>
      </c>
      <c r="N21" s="596">
        <v>41361</v>
      </c>
      <c r="O21" s="596">
        <v>41361</v>
      </c>
    </row>
    <row r="22" spans="1:15" ht="12.75">
      <c r="A22" s="590">
        <v>2013</v>
      </c>
      <c r="B22" s="591" t="s">
        <v>481</v>
      </c>
      <c r="C22" s="591" t="s">
        <v>482</v>
      </c>
      <c r="D22" s="592">
        <v>1021011</v>
      </c>
      <c r="E22" s="592">
        <v>1</v>
      </c>
      <c r="F22" s="592"/>
      <c r="G22" s="592">
        <v>10</v>
      </c>
      <c r="H22" s="592">
        <v>1</v>
      </c>
      <c r="I22" s="592" t="s">
        <v>483</v>
      </c>
      <c r="J22" s="592" t="s">
        <v>9</v>
      </c>
      <c r="K22" s="593" t="b">
        <f>TRUE</f>
        <v>1</v>
      </c>
      <c r="L22" s="594">
        <v>2013</v>
      </c>
      <c r="M22" s="595">
        <v>31943451.22</v>
      </c>
      <c r="N22" s="596">
        <v>41361</v>
      </c>
      <c r="O22" s="596">
        <v>41361</v>
      </c>
    </row>
    <row r="23" spans="1:15" ht="12.75">
      <c r="A23" s="590">
        <v>2013</v>
      </c>
      <c r="B23" s="591" t="s">
        <v>481</v>
      </c>
      <c r="C23" s="591" t="s">
        <v>482</v>
      </c>
      <c r="D23" s="592">
        <v>1021011</v>
      </c>
      <c r="E23" s="592">
        <v>1</v>
      </c>
      <c r="F23" s="592"/>
      <c r="G23" s="592">
        <v>10</v>
      </c>
      <c r="H23" s="592">
        <v>1</v>
      </c>
      <c r="I23" s="592" t="s">
        <v>483</v>
      </c>
      <c r="J23" s="592" t="s">
        <v>9</v>
      </c>
      <c r="K23" s="593" t="b">
        <f>TRUE</f>
        <v>1</v>
      </c>
      <c r="L23" s="594">
        <v>2014</v>
      </c>
      <c r="M23" s="595">
        <v>30722594.71</v>
      </c>
      <c r="N23" s="596">
        <v>41361</v>
      </c>
      <c r="O23" s="596">
        <v>41361</v>
      </c>
    </row>
    <row r="24" spans="1:15" ht="12.75">
      <c r="A24" s="590">
        <v>2013</v>
      </c>
      <c r="B24" s="591" t="s">
        <v>481</v>
      </c>
      <c r="C24" s="591" t="s">
        <v>482</v>
      </c>
      <c r="D24" s="592">
        <v>1021011</v>
      </c>
      <c r="E24" s="592">
        <v>1</v>
      </c>
      <c r="F24" s="592"/>
      <c r="G24" s="592">
        <v>10</v>
      </c>
      <c r="H24" s="592">
        <v>1</v>
      </c>
      <c r="I24" s="592" t="s">
        <v>483</v>
      </c>
      <c r="J24" s="592" t="s">
        <v>9</v>
      </c>
      <c r="K24" s="593" t="b">
        <f>TRUE</f>
        <v>1</v>
      </c>
      <c r="L24" s="594">
        <v>2015</v>
      </c>
      <c r="M24" s="595">
        <v>31000000</v>
      </c>
      <c r="N24" s="596">
        <v>41361</v>
      </c>
      <c r="O24" s="596">
        <v>41361</v>
      </c>
    </row>
    <row r="25" spans="1:15" ht="12.75">
      <c r="A25" s="590">
        <v>2013</v>
      </c>
      <c r="B25" s="591" t="s">
        <v>481</v>
      </c>
      <c r="C25" s="591" t="s">
        <v>482</v>
      </c>
      <c r="D25" s="592">
        <v>1021011</v>
      </c>
      <c r="E25" s="592">
        <v>1</v>
      </c>
      <c r="F25" s="592"/>
      <c r="G25" s="592">
        <v>10</v>
      </c>
      <c r="H25" s="592">
        <v>1</v>
      </c>
      <c r="I25" s="592" t="s">
        <v>483</v>
      </c>
      <c r="J25" s="592" t="s">
        <v>9</v>
      </c>
      <c r="K25" s="593" t="b">
        <f>TRUE</f>
        <v>1</v>
      </c>
      <c r="L25" s="594">
        <v>2016</v>
      </c>
      <c r="M25" s="595">
        <v>31500000</v>
      </c>
      <c r="N25" s="596">
        <v>41361</v>
      </c>
      <c r="O25" s="596">
        <v>41361</v>
      </c>
    </row>
    <row r="26" spans="1:15" ht="12.75">
      <c r="A26" s="590">
        <v>2013</v>
      </c>
      <c r="B26" s="591" t="s">
        <v>481</v>
      </c>
      <c r="C26" s="591" t="s">
        <v>482</v>
      </c>
      <c r="D26" s="592">
        <v>1021011</v>
      </c>
      <c r="E26" s="592">
        <v>1</v>
      </c>
      <c r="F26" s="592"/>
      <c r="G26" s="592">
        <v>10</v>
      </c>
      <c r="H26" s="592">
        <v>1</v>
      </c>
      <c r="I26" s="592" t="s">
        <v>483</v>
      </c>
      <c r="J26" s="592" t="s">
        <v>9</v>
      </c>
      <c r="K26" s="593" t="b">
        <f>TRUE</f>
        <v>1</v>
      </c>
      <c r="L26" s="594">
        <v>2017</v>
      </c>
      <c r="M26" s="595">
        <v>32000000</v>
      </c>
      <c r="N26" s="596">
        <v>41361</v>
      </c>
      <c r="O26" s="596">
        <v>41361</v>
      </c>
    </row>
    <row r="27" spans="1:15" ht="12.75">
      <c r="A27" s="590">
        <v>2013</v>
      </c>
      <c r="B27" s="591" t="s">
        <v>481</v>
      </c>
      <c r="C27" s="591" t="s">
        <v>482</v>
      </c>
      <c r="D27" s="592">
        <v>1021011</v>
      </c>
      <c r="E27" s="592">
        <v>1</v>
      </c>
      <c r="F27" s="592"/>
      <c r="G27" s="592">
        <v>10</v>
      </c>
      <c r="H27" s="592">
        <v>1</v>
      </c>
      <c r="I27" s="592" t="s">
        <v>483</v>
      </c>
      <c r="J27" s="592" t="s">
        <v>9</v>
      </c>
      <c r="K27" s="593" t="b">
        <f>TRUE</f>
        <v>1</v>
      </c>
      <c r="L27" s="594">
        <v>2018</v>
      </c>
      <c r="M27" s="595">
        <v>32500000</v>
      </c>
      <c r="N27" s="596">
        <v>41361</v>
      </c>
      <c r="O27" s="596">
        <v>41361</v>
      </c>
    </row>
    <row r="28" spans="1:15" ht="12.75">
      <c r="A28" s="590">
        <v>2013</v>
      </c>
      <c r="B28" s="591" t="s">
        <v>481</v>
      </c>
      <c r="C28" s="591" t="s">
        <v>482</v>
      </c>
      <c r="D28" s="592">
        <v>1021011</v>
      </c>
      <c r="E28" s="592">
        <v>1</v>
      </c>
      <c r="F28" s="592"/>
      <c r="G28" s="592">
        <v>10</v>
      </c>
      <c r="H28" s="592">
        <v>1</v>
      </c>
      <c r="I28" s="592" t="s">
        <v>483</v>
      </c>
      <c r="J28" s="592" t="s">
        <v>9</v>
      </c>
      <c r="K28" s="593" t="b">
        <f>TRUE</f>
        <v>1</v>
      </c>
      <c r="L28" s="594">
        <v>2019</v>
      </c>
      <c r="M28" s="595">
        <v>33000000</v>
      </c>
      <c r="N28" s="596">
        <v>41361</v>
      </c>
      <c r="O28" s="596">
        <v>41361</v>
      </c>
    </row>
    <row r="29" spans="1:15" ht="12.75">
      <c r="A29" s="590">
        <v>2013</v>
      </c>
      <c r="B29" s="591" t="s">
        <v>481</v>
      </c>
      <c r="C29" s="591" t="s">
        <v>482</v>
      </c>
      <c r="D29" s="592">
        <v>1021011</v>
      </c>
      <c r="E29" s="592">
        <v>1</v>
      </c>
      <c r="F29" s="592"/>
      <c r="G29" s="592">
        <v>10</v>
      </c>
      <c r="H29" s="592">
        <v>1</v>
      </c>
      <c r="I29" s="592" t="s">
        <v>483</v>
      </c>
      <c r="J29" s="592" t="s">
        <v>9</v>
      </c>
      <c r="K29" s="593" t="b">
        <f>TRUE</f>
        <v>1</v>
      </c>
      <c r="L29" s="594">
        <v>2020</v>
      </c>
      <c r="M29" s="595">
        <v>33500000</v>
      </c>
      <c r="N29" s="596">
        <v>41361</v>
      </c>
      <c r="O29" s="596">
        <v>41361</v>
      </c>
    </row>
    <row r="30" spans="1:15" ht="12.75">
      <c r="A30" s="590">
        <v>2013</v>
      </c>
      <c r="B30" s="591" t="s">
        <v>481</v>
      </c>
      <c r="C30" s="591" t="s">
        <v>482</v>
      </c>
      <c r="D30" s="592">
        <v>1021011</v>
      </c>
      <c r="E30" s="592">
        <v>1</v>
      </c>
      <c r="F30" s="592"/>
      <c r="G30" s="592">
        <v>10</v>
      </c>
      <c r="H30" s="592">
        <v>1</v>
      </c>
      <c r="I30" s="592" t="s">
        <v>483</v>
      </c>
      <c r="J30" s="592" t="s">
        <v>9</v>
      </c>
      <c r="K30" s="593" t="b">
        <f>TRUE</f>
        <v>1</v>
      </c>
      <c r="L30" s="594">
        <v>2021</v>
      </c>
      <c r="M30" s="595">
        <v>34000000</v>
      </c>
      <c r="N30" s="596">
        <v>41361</v>
      </c>
      <c r="O30" s="596">
        <v>41361</v>
      </c>
    </row>
    <row r="31" spans="1:15" ht="12.75">
      <c r="A31" s="590">
        <v>2013</v>
      </c>
      <c r="B31" s="591" t="s">
        <v>481</v>
      </c>
      <c r="C31" s="591" t="s">
        <v>482</v>
      </c>
      <c r="D31" s="592">
        <v>1021011</v>
      </c>
      <c r="E31" s="592">
        <v>1</v>
      </c>
      <c r="F31" s="592"/>
      <c r="G31" s="592">
        <v>10</v>
      </c>
      <c r="H31" s="592">
        <v>1</v>
      </c>
      <c r="I31" s="592" t="s">
        <v>483</v>
      </c>
      <c r="J31" s="592" t="s">
        <v>9</v>
      </c>
      <c r="K31" s="593" t="b">
        <f>TRUE</f>
        <v>1</v>
      </c>
      <c r="L31" s="594">
        <v>2022</v>
      </c>
      <c r="M31" s="595">
        <v>34500000</v>
      </c>
      <c r="N31" s="596">
        <v>41361</v>
      </c>
      <c r="O31" s="596">
        <v>41361</v>
      </c>
    </row>
    <row r="32" spans="1:15" ht="12.75">
      <c r="A32" s="590">
        <v>2013</v>
      </c>
      <c r="B32" s="591" t="s">
        <v>481</v>
      </c>
      <c r="C32" s="591" t="s">
        <v>482</v>
      </c>
      <c r="D32" s="592">
        <v>1021011</v>
      </c>
      <c r="E32" s="592">
        <v>1</v>
      </c>
      <c r="F32" s="592"/>
      <c r="G32" s="592">
        <v>10</v>
      </c>
      <c r="H32" s="592">
        <v>1</v>
      </c>
      <c r="I32" s="592" t="s">
        <v>483</v>
      </c>
      <c r="J32" s="592" t="s">
        <v>9</v>
      </c>
      <c r="K32" s="593" t="b">
        <f>TRUE</f>
        <v>1</v>
      </c>
      <c r="L32" s="594">
        <v>2023</v>
      </c>
      <c r="M32" s="595">
        <v>35000000</v>
      </c>
      <c r="N32" s="596">
        <v>41361</v>
      </c>
      <c r="O32" s="596">
        <v>41361</v>
      </c>
    </row>
    <row r="33" spans="1:15" ht="12.75">
      <c r="A33" s="590">
        <v>2013</v>
      </c>
      <c r="B33" s="591" t="s">
        <v>481</v>
      </c>
      <c r="C33" s="591" t="s">
        <v>482</v>
      </c>
      <c r="D33" s="592">
        <v>1021011</v>
      </c>
      <c r="E33" s="592">
        <v>1</v>
      </c>
      <c r="F33" s="592"/>
      <c r="G33" s="592">
        <v>10</v>
      </c>
      <c r="H33" s="592">
        <v>1</v>
      </c>
      <c r="I33" s="592" t="s">
        <v>483</v>
      </c>
      <c r="J33" s="592" t="s">
        <v>9</v>
      </c>
      <c r="K33" s="593" t="b">
        <f>TRUE</f>
        <v>1</v>
      </c>
      <c r="L33" s="594">
        <v>2024</v>
      </c>
      <c r="M33" s="595">
        <v>35500000</v>
      </c>
      <c r="N33" s="596">
        <v>41361</v>
      </c>
      <c r="O33" s="596">
        <v>41361</v>
      </c>
    </row>
    <row r="34" spans="1:15" ht="12.75">
      <c r="A34" s="590">
        <v>2013</v>
      </c>
      <c r="B34" s="591" t="s">
        <v>481</v>
      </c>
      <c r="C34" s="591" t="s">
        <v>482</v>
      </c>
      <c r="D34" s="592">
        <v>1021011</v>
      </c>
      <c r="E34" s="592">
        <v>1</v>
      </c>
      <c r="F34" s="592"/>
      <c r="G34" s="592">
        <v>10</v>
      </c>
      <c r="H34" s="592">
        <v>1</v>
      </c>
      <c r="I34" s="592" t="s">
        <v>483</v>
      </c>
      <c r="J34" s="592" t="s">
        <v>9</v>
      </c>
      <c r="K34" s="593" t="b">
        <f>TRUE</f>
        <v>1</v>
      </c>
      <c r="L34" s="594">
        <v>2025</v>
      </c>
      <c r="M34" s="595">
        <v>36000000</v>
      </c>
      <c r="N34" s="596">
        <v>41361</v>
      </c>
      <c r="O34" s="596">
        <v>41361</v>
      </c>
    </row>
    <row r="35" spans="1:15" ht="12.75">
      <c r="A35" s="590">
        <v>2013</v>
      </c>
      <c r="B35" s="591" t="s">
        <v>481</v>
      </c>
      <c r="C35" s="591" t="s">
        <v>482</v>
      </c>
      <c r="D35" s="592">
        <v>1021011</v>
      </c>
      <c r="E35" s="592">
        <v>1</v>
      </c>
      <c r="F35" s="592"/>
      <c r="G35" s="592">
        <v>10</v>
      </c>
      <c r="H35" s="592">
        <v>1</v>
      </c>
      <c r="I35" s="592" t="s">
        <v>483</v>
      </c>
      <c r="J35" s="592" t="s">
        <v>9</v>
      </c>
      <c r="K35" s="593" t="b">
        <f>TRUE</f>
        <v>1</v>
      </c>
      <c r="L35" s="594">
        <v>2026</v>
      </c>
      <c r="M35" s="595">
        <v>36500000</v>
      </c>
      <c r="N35" s="596">
        <v>41361</v>
      </c>
      <c r="O35" s="596">
        <v>41361</v>
      </c>
    </row>
    <row r="36" spans="1:15" ht="12.75">
      <c r="A36" s="590">
        <v>2013</v>
      </c>
      <c r="B36" s="591" t="s">
        <v>481</v>
      </c>
      <c r="C36" s="591" t="s">
        <v>482</v>
      </c>
      <c r="D36" s="592">
        <v>1021011</v>
      </c>
      <c r="E36" s="592">
        <v>1</v>
      </c>
      <c r="F36" s="592"/>
      <c r="G36" s="592">
        <v>10</v>
      </c>
      <c r="H36" s="592">
        <v>1</v>
      </c>
      <c r="I36" s="592" t="s">
        <v>483</v>
      </c>
      <c r="J36" s="592" t="s">
        <v>9</v>
      </c>
      <c r="K36" s="593" t="b">
        <f>TRUE</f>
        <v>1</v>
      </c>
      <c r="L36" s="594">
        <v>2027</v>
      </c>
      <c r="M36" s="595">
        <v>37000000</v>
      </c>
      <c r="N36" s="596">
        <v>41361</v>
      </c>
      <c r="O36" s="596">
        <v>41361</v>
      </c>
    </row>
    <row r="37" spans="1:15" ht="12.75">
      <c r="A37" s="590">
        <v>2013</v>
      </c>
      <c r="B37" s="591" t="s">
        <v>481</v>
      </c>
      <c r="C37" s="591" t="s">
        <v>482</v>
      </c>
      <c r="D37" s="592">
        <v>1021011</v>
      </c>
      <c r="E37" s="592">
        <v>1</v>
      </c>
      <c r="F37" s="592"/>
      <c r="G37" s="592">
        <v>10</v>
      </c>
      <c r="H37" s="592">
        <v>1</v>
      </c>
      <c r="I37" s="592" t="s">
        <v>483</v>
      </c>
      <c r="J37" s="592" t="s">
        <v>9</v>
      </c>
      <c r="K37" s="593" t="b">
        <f>TRUE</f>
        <v>1</v>
      </c>
      <c r="L37" s="594">
        <v>2028</v>
      </c>
      <c r="M37" s="595">
        <v>37500000</v>
      </c>
      <c r="N37" s="596">
        <v>41361</v>
      </c>
      <c r="O37" s="596">
        <v>41361</v>
      </c>
    </row>
    <row r="38" spans="1:15" ht="12.75">
      <c r="A38" s="590">
        <v>2013</v>
      </c>
      <c r="B38" s="591" t="s">
        <v>481</v>
      </c>
      <c r="C38" s="591" t="s">
        <v>482</v>
      </c>
      <c r="D38" s="592">
        <v>1021011</v>
      </c>
      <c r="E38" s="592">
        <v>1</v>
      </c>
      <c r="F38" s="592"/>
      <c r="G38" s="592">
        <v>10</v>
      </c>
      <c r="H38" s="592">
        <v>1</v>
      </c>
      <c r="I38" s="592" t="s">
        <v>483</v>
      </c>
      <c r="J38" s="592" t="s">
        <v>9</v>
      </c>
      <c r="K38" s="593" t="b">
        <f>TRUE</f>
        <v>1</v>
      </c>
      <c r="L38" s="594">
        <v>2029</v>
      </c>
      <c r="M38" s="595">
        <v>38000000</v>
      </c>
      <c r="N38" s="596">
        <v>41361</v>
      </c>
      <c r="O38" s="596">
        <v>41361</v>
      </c>
    </row>
    <row r="39" spans="1:15" ht="12.75">
      <c r="A39" s="590">
        <v>2013</v>
      </c>
      <c r="B39" s="591" t="s">
        <v>481</v>
      </c>
      <c r="C39" s="591" t="s">
        <v>482</v>
      </c>
      <c r="D39" s="592">
        <v>1021011</v>
      </c>
      <c r="E39" s="592">
        <v>1</v>
      </c>
      <c r="F39" s="592"/>
      <c r="G39" s="592">
        <v>70</v>
      </c>
      <c r="H39" s="592" t="s">
        <v>20</v>
      </c>
      <c r="I39" s="592"/>
      <c r="J39" s="592" t="s">
        <v>388</v>
      </c>
      <c r="K39" s="593" t="b">
        <f>TRUE</f>
        <v>1</v>
      </c>
      <c r="L39" s="594">
        <v>2013</v>
      </c>
      <c r="M39" s="595">
        <v>7466452</v>
      </c>
      <c r="N39" s="596">
        <v>41361</v>
      </c>
      <c r="O39" s="596">
        <v>41361</v>
      </c>
    </row>
    <row r="40" spans="1:15" ht="12.75">
      <c r="A40" s="590">
        <v>2013</v>
      </c>
      <c r="B40" s="591" t="s">
        <v>481</v>
      </c>
      <c r="C40" s="591" t="s">
        <v>482</v>
      </c>
      <c r="D40" s="592">
        <v>1021011</v>
      </c>
      <c r="E40" s="592">
        <v>1</v>
      </c>
      <c r="F40" s="592"/>
      <c r="G40" s="592">
        <v>550</v>
      </c>
      <c r="H40" s="592">
        <v>10</v>
      </c>
      <c r="I40" s="592"/>
      <c r="J40" s="592" t="s">
        <v>427</v>
      </c>
      <c r="K40" s="593" t="b">
        <f>FALSE</f>
        <v>0</v>
      </c>
      <c r="L40" s="594">
        <v>2015</v>
      </c>
      <c r="M40" s="595">
        <v>1850000</v>
      </c>
      <c r="N40" s="596">
        <v>41361</v>
      </c>
      <c r="O40" s="596">
        <v>41361</v>
      </c>
    </row>
    <row r="41" spans="1:15" ht="12.75">
      <c r="A41" s="590">
        <v>2013</v>
      </c>
      <c r="B41" s="591" t="s">
        <v>481</v>
      </c>
      <c r="C41" s="591" t="s">
        <v>482</v>
      </c>
      <c r="D41" s="592">
        <v>1021011</v>
      </c>
      <c r="E41" s="592">
        <v>1</v>
      </c>
      <c r="F41" s="592"/>
      <c r="G41" s="592">
        <v>520</v>
      </c>
      <c r="H41" s="592" t="s">
        <v>102</v>
      </c>
      <c r="I41" s="592"/>
      <c r="J41" s="592" t="s">
        <v>424</v>
      </c>
      <c r="K41" s="593" t="b">
        <f>TRUE</f>
        <v>1</v>
      </c>
      <c r="L41" s="594">
        <v>2013</v>
      </c>
      <c r="M41" s="595">
        <v>0.0732</v>
      </c>
      <c r="N41" s="596">
        <v>41361</v>
      </c>
      <c r="O41" s="596">
        <v>41361</v>
      </c>
    </row>
    <row r="42" spans="1:15" ht="12.75">
      <c r="A42" s="590">
        <v>2013</v>
      </c>
      <c r="B42" s="591" t="s">
        <v>481</v>
      </c>
      <c r="C42" s="591" t="s">
        <v>482</v>
      </c>
      <c r="D42" s="592">
        <v>1021011</v>
      </c>
      <c r="E42" s="592">
        <v>1</v>
      </c>
      <c r="F42" s="592"/>
      <c r="G42" s="592">
        <v>520</v>
      </c>
      <c r="H42" s="592" t="s">
        <v>102</v>
      </c>
      <c r="I42" s="592"/>
      <c r="J42" s="592" t="s">
        <v>424</v>
      </c>
      <c r="K42" s="593" t="b">
        <f>TRUE</f>
        <v>1</v>
      </c>
      <c r="L42" s="594">
        <v>2014</v>
      </c>
      <c r="M42" s="595">
        <v>0.0909</v>
      </c>
      <c r="N42" s="596">
        <v>41361</v>
      </c>
      <c r="O42" s="596">
        <v>41361</v>
      </c>
    </row>
    <row r="43" spans="1:15" ht="12.75">
      <c r="A43" s="590">
        <v>2013</v>
      </c>
      <c r="B43" s="591" t="s">
        <v>481</v>
      </c>
      <c r="C43" s="591" t="s">
        <v>482</v>
      </c>
      <c r="D43" s="592">
        <v>1021011</v>
      </c>
      <c r="E43" s="592">
        <v>1</v>
      </c>
      <c r="F43" s="592"/>
      <c r="G43" s="592">
        <v>520</v>
      </c>
      <c r="H43" s="592" t="s">
        <v>102</v>
      </c>
      <c r="I43" s="592"/>
      <c r="J43" s="592" t="s">
        <v>424</v>
      </c>
      <c r="K43" s="593" t="b">
        <f>TRUE</f>
        <v>1</v>
      </c>
      <c r="L43" s="594">
        <v>2015</v>
      </c>
      <c r="M43" s="595">
        <v>0.1078</v>
      </c>
      <c r="N43" s="596">
        <v>41361</v>
      </c>
      <c r="O43" s="596">
        <v>41361</v>
      </c>
    </row>
    <row r="44" spans="1:15" ht="12.75">
      <c r="A44" s="590">
        <v>2013</v>
      </c>
      <c r="B44" s="591" t="s">
        <v>481</v>
      </c>
      <c r="C44" s="591" t="s">
        <v>482</v>
      </c>
      <c r="D44" s="592">
        <v>1021011</v>
      </c>
      <c r="E44" s="592">
        <v>1</v>
      </c>
      <c r="F44" s="592"/>
      <c r="G44" s="592">
        <v>520</v>
      </c>
      <c r="H44" s="592" t="s">
        <v>102</v>
      </c>
      <c r="I44" s="592"/>
      <c r="J44" s="592" t="s">
        <v>424</v>
      </c>
      <c r="K44" s="593" t="b">
        <f>TRUE</f>
        <v>1</v>
      </c>
      <c r="L44" s="594">
        <v>2016</v>
      </c>
      <c r="M44" s="595">
        <v>0.1222</v>
      </c>
      <c r="N44" s="596">
        <v>41361</v>
      </c>
      <c r="O44" s="596">
        <v>41361</v>
      </c>
    </row>
    <row r="45" spans="1:15" ht="12.75">
      <c r="A45" s="590">
        <v>2013</v>
      </c>
      <c r="B45" s="591" t="s">
        <v>481</v>
      </c>
      <c r="C45" s="591" t="s">
        <v>482</v>
      </c>
      <c r="D45" s="592">
        <v>1021011</v>
      </c>
      <c r="E45" s="592">
        <v>1</v>
      </c>
      <c r="F45" s="592"/>
      <c r="G45" s="592">
        <v>520</v>
      </c>
      <c r="H45" s="592" t="s">
        <v>102</v>
      </c>
      <c r="I45" s="592"/>
      <c r="J45" s="592" t="s">
        <v>424</v>
      </c>
      <c r="K45" s="593" t="b">
        <f>TRUE</f>
        <v>1</v>
      </c>
      <c r="L45" s="594">
        <v>2017</v>
      </c>
      <c r="M45" s="595">
        <v>0.1263</v>
      </c>
      <c r="N45" s="596">
        <v>41361</v>
      </c>
      <c r="O45" s="596">
        <v>41361</v>
      </c>
    </row>
    <row r="46" spans="1:15" ht="12.75">
      <c r="A46" s="590">
        <v>2013</v>
      </c>
      <c r="B46" s="591" t="s">
        <v>481</v>
      </c>
      <c r="C46" s="591" t="s">
        <v>482</v>
      </c>
      <c r="D46" s="592">
        <v>1021011</v>
      </c>
      <c r="E46" s="592">
        <v>1</v>
      </c>
      <c r="F46" s="592"/>
      <c r="G46" s="592">
        <v>520</v>
      </c>
      <c r="H46" s="592" t="s">
        <v>102</v>
      </c>
      <c r="I46" s="592"/>
      <c r="J46" s="592" t="s">
        <v>424</v>
      </c>
      <c r="K46" s="593" t="b">
        <f>TRUE</f>
        <v>1</v>
      </c>
      <c r="L46" s="594">
        <v>2018</v>
      </c>
      <c r="M46" s="595">
        <v>0.1284</v>
      </c>
      <c r="N46" s="596">
        <v>41361</v>
      </c>
      <c r="O46" s="596">
        <v>41361</v>
      </c>
    </row>
    <row r="47" spans="1:15" ht="12.75">
      <c r="A47" s="590">
        <v>2013</v>
      </c>
      <c r="B47" s="591" t="s">
        <v>481</v>
      </c>
      <c r="C47" s="591" t="s">
        <v>482</v>
      </c>
      <c r="D47" s="592">
        <v>1021011</v>
      </c>
      <c r="E47" s="592">
        <v>1</v>
      </c>
      <c r="F47" s="592"/>
      <c r="G47" s="592">
        <v>520</v>
      </c>
      <c r="H47" s="592" t="s">
        <v>102</v>
      </c>
      <c r="I47" s="592"/>
      <c r="J47" s="592" t="s">
        <v>424</v>
      </c>
      <c r="K47" s="593" t="b">
        <f>TRUE</f>
        <v>1</v>
      </c>
      <c r="L47" s="594">
        <v>2019</v>
      </c>
      <c r="M47" s="595">
        <v>0.1308</v>
      </c>
      <c r="N47" s="596">
        <v>41361</v>
      </c>
      <c r="O47" s="596">
        <v>41361</v>
      </c>
    </row>
    <row r="48" spans="1:15" ht="12.75">
      <c r="A48" s="590">
        <v>2013</v>
      </c>
      <c r="B48" s="591" t="s">
        <v>481</v>
      </c>
      <c r="C48" s="591" t="s">
        <v>482</v>
      </c>
      <c r="D48" s="592">
        <v>1021011</v>
      </c>
      <c r="E48" s="592">
        <v>1</v>
      </c>
      <c r="F48" s="592"/>
      <c r="G48" s="592">
        <v>520</v>
      </c>
      <c r="H48" s="592" t="s">
        <v>102</v>
      </c>
      <c r="I48" s="592"/>
      <c r="J48" s="592" t="s">
        <v>424</v>
      </c>
      <c r="K48" s="593" t="b">
        <f>TRUE</f>
        <v>1</v>
      </c>
      <c r="L48" s="594">
        <v>2020</v>
      </c>
      <c r="M48" s="595">
        <v>0.1314</v>
      </c>
      <c r="N48" s="596">
        <v>41361</v>
      </c>
      <c r="O48" s="596">
        <v>41361</v>
      </c>
    </row>
    <row r="49" spans="1:15" ht="12.75">
      <c r="A49" s="590">
        <v>2013</v>
      </c>
      <c r="B49" s="591" t="s">
        <v>481</v>
      </c>
      <c r="C49" s="591" t="s">
        <v>482</v>
      </c>
      <c r="D49" s="592">
        <v>1021011</v>
      </c>
      <c r="E49" s="592">
        <v>1</v>
      </c>
      <c r="F49" s="592"/>
      <c r="G49" s="592">
        <v>520</v>
      </c>
      <c r="H49" s="592" t="s">
        <v>102</v>
      </c>
      <c r="I49" s="592"/>
      <c r="J49" s="592" t="s">
        <v>424</v>
      </c>
      <c r="K49" s="593" t="b">
        <f>TRUE</f>
        <v>1</v>
      </c>
      <c r="L49" s="594">
        <v>2021</v>
      </c>
      <c r="M49" s="595">
        <v>0.1309</v>
      </c>
      <c r="N49" s="596">
        <v>41361</v>
      </c>
      <c r="O49" s="596">
        <v>41361</v>
      </c>
    </row>
    <row r="50" spans="1:15" ht="12.75">
      <c r="A50" s="590">
        <v>2013</v>
      </c>
      <c r="B50" s="591" t="s">
        <v>481</v>
      </c>
      <c r="C50" s="591" t="s">
        <v>482</v>
      </c>
      <c r="D50" s="592">
        <v>1021011</v>
      </c>
      <c r="E50" s="592">
        <v>1</v>
      </c>
      <c r="F50" s="592"/>
      <c r="G50" s="592">
        <v>520</v>
      </c>
      <c r="H50" s="592" t="s">
        <v>102</v>
      </c>
      <c r="I50" s="592"/>
      <c r="J50" s="592" t="s">
        <v>424</v>
      </c>
      <c r="K50" s="593" t="b">
        <f>TRUE</f>
        <v>1</v>
      </c>
      <c r="L50" s="594">
        <v>2022</v>
      </c>
      <c r="M50" s="595">
        <v>0.1301</v>
      </c>
      <c r="N50" s="596">
        <v>41361</v>
      </c>
      <c r="O50" s="596">
        <v>41361</v>
      </c>
    </row>
    <row r="51" spans="1:15" ht="12.75">
      <c r="A51" s="590">
        <v>2013</v>
      </c>
      <c r="B51" s="591" t="s">
        <v>481</v>
      </c>
      <c r="C51" s="591" t="s">
        <v>482</v>
      </c>
      <c r="D51" s="592">
        <v>1021011</v>
      </c>
      <c r="E51" s="592">
        <v>1</v>
      </c>
      <c r="F51" s="592"/>
      <c r="G51" s="592">
        <v>550</v>
      </c>
      <c r="H51" s="592">
        <v>10</v>
      </c>
      <c r="I51" s="592"/>
      <c r="J51" s="592" t="s">
        <v>427</v>
      </c>
      <c r="K51" s="593" t="b">
        <f>FALSE</f>
        <v>0</v>
      </c>
      <c r="L51" s="594">
        <v>2016</v>
      </c>
      <c r="M51" s="595">
        <v>2000000</v>
      </c>
      <c r="N51" s="596">
        <v>41361</v>
      </c>
      <c r="O51" s="596">
        <v>41361</v>
      </c>
    </row>
    <row r="52" spans="1:15" ht="12.75">
      <c r="A52" s="590">
        <v>2013</v>
      </c>
      <c r="B52" s="591" t="s">
        <v>481</v>
      </c>
      <c r="C52" s="591" t="s">
        <v>482</v>
      </c>
      <c r="D52" s="592">
        <v>1021011</v>
      </c>
      <c r="E52" s="592">
        <v>1</v>
      </c>
      <c r="F52" s="592"/>
      <c r="G52" s="592">
        <v>550</v>
      </c>
      <c r="H52" s="592">
        <v>10</v>
      </c>
      <c r="I52" s="592"/>
      <c r="J52" s="592" t="s">
        <v>427</v>
      </c>
      <c r="K52" s="593" t="b">
        <f>FALSE</f>
        <v>0</v>
      </c>
      <c r="L52" s="594">
        <v>2017</v>
      </c>
      <c r="M52" s="595">
        <v>2200000</v>
      </c>
      <c r="N52" s="596">
        <v>41361</v>
      </c>
      <c r="O52" s="596">
        <v>41361</v>
      </c>
    </row>
    <row r="53" spans="1:15" ht="12.75">
      <c r="A53" s="590">
        <v>2013</v>
      </c>
      <c r="B53" s="591" t="s">
        <v>481</v>
      </c>
      <c r="C53" s="591" t="s">
        <v>482</v>
      </c>
      <c r="D53" s="592">
        <v>1021011</v>
      </c>
      <c r="E53" s="592">
        <v>1</v>
      </c>
      <c r="F53" s="592"/>
      <c r="G53" s="592">
        <v>520</v>
      </c>
      <c r="H53" s="592" t="s">
        <v>102</v>
      </c>
      <c r="I53" s="592"/>
      <c r="J53" s="592" t="s">
        <v>424</v>
      </c>
      <c r="K53" s="593" t="b">
        <f>TRUE</f>
        <v>1</v>
      </c>
      <c r="L53" s="594">
        <v>2023</v>
      </c>
      <c r="M53" s="595">
        <v>0.1293</v>
      </c>
      <c r="N53" s="596">
        <v>41361</v>
      </c>
      <c r="O53" s="596">
        <v>41361</v>
      </c>
    </row>
    <row r="54" spans="1:15" ht="12.75">
      <c r="A54" s="590">
        <v>2013</v>
      </c>
      <c r="B54" s="591" t="s">
        <v>481</v>
      </c>
      <c r="C54" s="591" t="s">
        <v>482</v>
      </c>
      <c r="D54" s="592">
        <v>1021011</v>
      </c>
      <c r="E54" s="592">
        <v>1</v>
      </c>
      <c r="F54" s="592"/>
      <c r="G54" s="592">
        <v>520</v>
      </c>
      <c r="H54" s="592" t="s">
        <v>102</v>
      </c>
      <c r="I54" s="592"/>
      <c r="J54" s="592" t="s">
        <v>424</v>
      </c>
      <c r="K54" s="593" t="b">
        <f>TRUE</f>
        <v>1</v>
      </c>
      <c r="L54" s="594">
        <v>2024</v>
      </c>
      <c r="M54" s="595">
        <v>0.1288</v>
      </c>
      <c r="N54" s="596">
        <v>41361</v>
      </c>
      <c r="O54" s="596">
        <v>41361</v>
      </c>
    </row>
    <row r="55" spans="1:15" ht="12.75">
      <c r="A55" s="590">
        <v>2013</v>
      </c>
      <c r="B55" s="591" t="s">
        <v>481</v>
      </c>
      <c r="C55" s="591" t="s">
        <v>482</v>
      </c>
      <c r="D55" s="592">
        <v>1021011</v>
      </c>
      <c r="E55" s="592">
        <v>1</v>
      </c>
      <c r="F55" s="592"/>
      <c r="G55" s="592">
        <v>520</v>
      </c>
      <c r="H55" s="592" t="s">
        <v>102</v>
      </c>
      <c r="I55" s="592"/>
      <c r="J55" s="592" t="s">
        <v>424</v>
      </c>
      <c r="K55" s="593" t="b">
        <f>TRUE</f>
        <v>1</v>
      </c>
      <c r="L55" s="594">
        <v>2025</v>
      </c>
      <c r="M55" s="595">
        <v>0.128</v>
      </c>
      <c r="N55" s="596">
        <v>41361</v>
      </c>
      <c r="O55" s="596">
        <v>41361</v>
      </c>
    </row>
    <row r="56" spans="1:15" ht="12.75">
      <c r="A56" s="590">
        <v>2013</v>
      </c>
      <c r="B56" s="591" t="s">
        <v>481</v>
      </c>
      <c r="C56" s="591" t="s">
        <v>482</v>
      </c>
      <c r="D56" s="592">
        <v>1021011</v>
      </c>
      <c r="E56" s="592">
        <v>1</v>
      </c>
      <c r="F56" s="592"/>
      <c r="G56" s="592">
        <v>520</v>
      </c>
      <c r="H56" s="592" t="s">
        <v>102</v>
      </c>
      <c r="I56" s="592"/>
      <c r="J56" s="592" t="s">
        <v>424</v>
      </c>
      <c r="K56" s="593" t="b">
        <f>TRUE</f>
        <v>1</v>
      </c>
      <c r="L56" s="594">
        <v>2026</v>
      </c>
      <c r="M56" s="595">
        <v>0.1268</v>
      </c>
      <c r="N56" s="596">
        <v>41361</v>
      </c>
      <c r="O56" s="596">
        <v>41361</v>
      </c>
    </row>
    <row r="57" spans="1:15" ht="12.75">
      <c r="A57" s="590">
        <v>2013</v>
      </c>
      <c r="B57" s="591" t="s">
        <v>481</v>
      </c>
      <c r="C57" s="591" t="s">
        <v>482</v>
      </c>
      <c r="D57" s="592">
        <v>1021011</v>
      </c>
      <c r="E57" s="592">
        <v>1</v>
      </c>
      <c r="F57" s="592"/>
      <c r="G57" s="592">
        <v>520</v>
      </c>
      <c r="H57" s="592" t="s">
        <v>102</v>
      </c>
      <c r="I57" s="592"/>
      <c r="J57" s="592" t="s">
        <v>424</v>
      </c>
      <c r="K57" s="593" t="b">
        <f>TRUE</f>
        <v>1</v>
      </c>
      <c r="L57" s="594">
        <v>2027</v>
      </c>
      <c r="M57" s="595">
        <v>0.125</v>
      </c>
      <c r="N57" s="596">
        <v>41361</v>
      </c>
      <c r="O57" s="596">
        <v>41361</v>
      </c>
    </row>
    <row r="58" spans="1:15" ht="12.75">
      <c r="A58" s="590">
        <v>2013</v>
      </c>
      <c r="B58" s="591" t="s">
        <v>481</v>
      </c>
      <c r="C58" s="591" t="s">
        <v>482</v>
      </c>
      <c r="D58" s="592">
        <v>1021011</v>
      </c>
      <c r="E58" s="592">
        <v>1</v>
      </c>
      <c r="F58" s="592"/>
      <c r="G58" s="592">
        <v>520</v>
      </c>
      <c r="H58" s="592" t="s">
        <v>102</v>
      </c>
      <c r="I58" s="592"/>
      <c r="J58" s="592" t="s">
        <v>424</v>
      </c>
      <c r="K58" s="593" t="b">
        <f>TRUE</f>
        <v>1</v>
      </c>
      <c r="L58" s="594">
        <v>2028</v>
      </c>
      <c r="M58" s="595">
        <v>0.1233</v>
      </c>
      <c r="N58" s="596">
        <v>41361</v>
      </c>
      <c r="O58" s="596">
        <v>41361</v>
      </c>
    </row>
    <row r="59" spans="1:15" ht="12.75">
      <c r="A59" s="590">
        <v>2013</v>
      </c>
      <c r="B59" s="591" t="s">
        <v>481</v>
      </c>
      <c r="C59" s="591" t="s">
        <v>482</v>
      </c>
      <c r="D59" s="592">
        <v>1021011</v>
      </c>
      <c r="E59" s="592">
        <v>1</v>
      </c>
      <c r="F59" s="592"/>
      <c r="G59" s="592">
        <v>520</v>
      </c>
      <c r="H59" s="592" t="s">
        <v>102</v>
      </c>
      <c r="I59" s="592"/>
      <c r="J59" s="592" t="s">
        <v>424</v>
      </c>
      <c r="K59" s="593" t="b">
        <f>TRUE</f>
        <v>1</v>
      </c>
      <c r="L59" s="594">
        <v>2029</v>
      </c>
      <c r="M59" s="595">
        <v>0.1216</v>
      </c>
      <c r="N59" s="596">
        <v>41361</v>
      </c>
      <c r="O59" s="596">
        <v>41361</v>
      </c>
    </row>
    <row r="60" spans="1:15" ht="12.75">
      <c r="A60" s="590">
        <v>2013</v>
      </c>
      <c r="B60" s="591" t="s">
        <v>481</v>
      </c>
      <c r="C60" s="591" t="s">
        <v>482</v>
      </c>
      <c r="D60" s="592">
        <v>1021011</v>
      </c>
      <c r="E60" s="592">
        <v>1</v>
      </c>
      <c r="F60" s="592"/>
      <c r="G60" s="592">
        <v>350</v>
      </c>
      <c r="H60" s="592">
        <v>6</v>
      </c>
      <c r="I60" s="592"/>
      <c r="J60" s="592" t="s">
        <v>70</v>
      </c>
      <c r="K60" s="593" t="b">
        <f>TRUE</f>
        <v>1</v>
      </c>
      <c r="L60" s="594">
        <v>2013</v>
      </c>
      <c r="M60" s="595">
        <v>15503368.16</v>
      </c>
      <c r="N60" s="596">
        <v>41361</v>
      </c>
      <c r="O60" s="596">
        <v>41361</v>
      </c>
    </row>
    <row r="61" spans="1:15" ht="12.75">
      <c r="A61" s="590">
        <v>2013</v>
      </c>
      <c r="B61" s="591" t="s">
        <v>481</v>
      </c>
      <c r="C61" s="591" t="s">
        <v>482</v>
      </c>
      <c r="D61" s="592">
        <v>1021011</v>
      </c>
      <c r="E61" s="592">
        <v>1</v>
      </c>
      <c r="F61" s="592"/>
      <c r="G61" s="592">
        <v>350</v>
      </c>
      <c r="H61" s="592">
        <v>6</v>
      </c>
      <c r="I61" s="592"/>
      <c r="J61" s="592" t="s">
        <v>70</v>
      </c>
      <c r="K61" s="593" t="b">
        <f>TRUE</f>
        <v>1</v>
      </c>
      <c r="L61" s="594">
        <v>2014</v>
      </c>
      <c r="M61" s="595">
        <v>14203368.16</v>
      </c>
      <c r="N61" s="596">
        <v>41361</v>
      </c>
      <c r="O61" s="596">
        <v>41361</v>
      </c>
    </row>
    <row r="62" spans="1:15" ht="12.75">
      <c r="A62" s="590">
        <v>2013</v>
      </c>
      <c r="B62" s="591" t="s">
        <v>481</v>
      </c>
      <c r="C62" s="591" t="s">
        <v>482</v>
      </c>
      <c r="D62" s="592">
        <v>1021011</v>
      </c>
      <c r="E62" s="592">
        <v>1</v>
      </c>
      <c r="F62" s="592"/>
      <c r="G62" s="592">
        <v>350</v>
      </c>
      <c r="H62" s="592">
        <v>6</v>
      </c>
      <c r="I62" s="592"/>
      <c r="J62" s="592" t="s">
        <v>70</v>
      </c>
      <c r="K62" s="593" t="b">
        <f>TRUE</f>
        <v>1</v>
      </c>
      <c r="L62" s="594">
        <v>2015</v>
      </c>
      <c r="M62" s="595">
        <v>12353368.16</v>
      </c>
      <c r="N62" s="596">
        <v>41361</v>
      </c>
      <c r="O62" s="596">
        <v>41361</v>
      </c>
    </row>
    <row r="63" spans="1:15" ht="12.75">
      <c r="A63" s="590">
        <v>2013</v>
      </c>
      <c r="B63" s="591" t="s">
        <v>481</v>
      </c>
      <c r="C63" s="591" t="s">
        <v>482</v>
      </c>
      <c r="D63" s="592">
        <v>1021011</v>
      </c>
      <c r="E63" s="592">
        <v>1</v>
      </c>
      <c r="F63" s="592"/>
      <c r="G63" s="592">
        <v>350</v>
      </c>
      <c r="H63" s="592">
        <v>6</v>
      </c>
      <c r="I63" s="592"/>
      <c r="J63" s="592" t="s">
        <v>70</v>
      </c>
      <c r="K63" s="593" t="b">
        <f>TRUE</f>
        <v>1</v>
      </c>
      <c r="L63" s="594">
        <v>2016</v>
      </c>
      <c r="M63" s="595">
        <v>10353368.16</v>
      </c>
      <c r="N63" s="596">
        <v>41361</v>
      </c>
      <c r="O63" s="596">
        <v>41361</v>
      </c>
    </row>
    <row r="64" spans="1:15" ht="12.75">
      <c r="A64" s="590">
        <v>2013</v>
      </c>
      <c r="B64" s="591" t="s">
        <v>481</v>
      </c>
      <c r="C64" s="591" t="s">
        <v>482</v>
      </c>
      <c r="D64" s="592">
        <v>1021011</v>
      </c>
      <c r="E64" s="592">
        <v>1</v>
      </c>
      <c r="F64" s="592"/>
      <c r="G64" s="592">
        <v>350</v>
      </c>
      <c r="H64" s="592">
        <v>6</v>
      </c>
      <c r="I64" s="592"/>
      <c r="J64" s="592" t="s">
        <v>70</v>
      </c>
      <c r="K64" s="593" t="b">
        <f>TRUE</f>
        <v>1</v>
      </c>
      <c r="L64" s="594">
        <v>2017</v>
      </c>
      <c r="M64" s="595">
        <v>8153368.16</v>
      </c>
      <c r="N64" s="596">
        <v>41361</v>
      </c>
      <c r="O64" s="596">
        <v>41361</v>
      </c>
    </row>
    <row r="65" spans="1:15" ht="12.75">
      <c r="A65" s="590">
        <v>2013</v>
      </c>
      <c r="B65" s="591" t="s">
        <v>481</v>
      </c>
      <c r="C65" s="591" t="s">
        <v>482</v>
      </c>
      <c r="D65" s="592">
        <v>1021011</v>
      </c>
      <c r="E65" s="592">
        <v>1</v>
      </c>
      <c r="F65" s="592"/>
      <c r="G65" s="592">
        <v>350</v>
      </c>
      <c r="H65" s="592">
        <v>6</v>
      </c>
      <c r="I65" s="592"/>
      <c r="J65" s="592" t="s">
        <v>70</v>
      </c>
      <c r="K65" s="593" t="b">
        <f>TRUE</f>
        <v>1</v>
      </c>
      <c r="L65" s="594">
        <v>2018</v>
      </c>
      <c r="M65" s="595">
        <v>6053368.16</v>
      </c>
      <c r="N65" s="596">
        <v>41361</v>
      </c>
      <c r="O65" s="596">
        <v>41361</v>
      </c>
    </row>
    <row r="66" spans="1:15" ht="12.75">
      <c r="A66" s="590">
        <v>2013</v>
      </c>
      <c r="B66" s="591" t="s">
        <v>481</v>
      </c>
      <c r="C66" s="591" t="s">
        <v>482</v>
      </c>
      <c r="D66" s="592">
        <v>1021011</v>
      </c>
      <c r="E66" s="592">
        <v>1</v>
      </c>
      <c r="F66" s="592"/>
      <c r="G66" s="592">
        <v>350</v>
      </c>
      <c r="H66" s="592">
        <v>6</v>
      </c>
      <c r="I66" s="592"/>
      <c r="J66" s="592" t="s">
        <v>70</v>
      </c>
      <c r="K66" s="593" t="b">
        <f>TRUE</f>
        <v>1</v>
      </c>
      <c r="L66" s="594">
        <v>2019</v>
      </c>
      <c r="M66" s="595">
        <v>4053368.16</v>
      </c>
      <c r="N66" s="596">
        <v>41361</v>
      </c>
      <c r="O66" s="596">
        <v>41361</v>
      </c>
    </row>
    <row r="67" spans="1:15" ht="12.75">
      <c r="A67" s="590">
        <v>2013</v>
      </c>
      <c r="B67" s="591" t="s">
        <v>481</v>
      </c>
      <c r="C67" s="591" t="s">
        <v>482</v>
      </c>
      <c r="D67" s="592">
        <v>1021011</v>
      </c>
      <c r="E67" s="592">
        <v>1</v>
      </c>
      <c r="F67" s="592"/>
      <c r="G67" s="592">
        <v>350</v>
      </c>
      <c r="H67" s="592">
        <v>6</v>
      </c>
      <c r="I67" s="592"/>
      <c r="J67" s="592" t="s">
        <v>70</v>
      </c>
      <c r="K67" s="593" t="b">
        <f>TRUE</f>
        <v>1</v>
      </c>
      <c r="L67" s="594">
        <v>2020</v>
      </c>
      <c r="M67" s="595">
        <v>2053368.16</v>
      </c>
      <c r="N67" s="596">
        <v>41361</v>
      </c>
      <c r="O67" s="596">
        <v>41361</v>
      </c>
    </row>
    <row r="68" spans="1:15" ht="12.75">
      <c r="A68" s="590">
        <v>2013</v>
      </c>
      <c r="B68" s="591" t="s">
        <v>481</v>
      </c>
      <c r="C68" s="591" t="s">
        <v>482</v>
      </c>
      <c r="D68" s="592">
        <v>1021011</v>
      </c>
      <c r="E68" s="592">
        <v>1</v>
      </c>
      <c r="F68" s="592"/>
      <c r="G68" s="592">
        <v>350</v>
      </c>
      <c r="H68" s="592">
        <v>6</v>
      </c>
      <c r="I68" s="592"/>
      <c r="J68" s="592" t="s">
        <v>70</v>
      </c>
      <c r="K68" s="593" t="b">
        <f>TRUE</f>
        <v>1</v>
      </c>
      <c r="L68" s="594">
        <v>2021</v>
      </c>
      <c r="M68" s="595">
        <v>1053368.16</v>
      </c>
      <c r="N68" s="596">
        <v>41361</v>
      </c>
      <c r="O68" s="596">
        <v>41361</v>
      </c>
    </row>
    <row r="69" spans="1:15" ht="12.75">
      <c r="A69" s="590">
        <v>2013</v>
      </c>
      <c r="B69" s="591" t="s">
        <v>481</v>
      </c>
      <c r="C69" s="591" t="s">
        <v>482</v>
      </c>
      <c r="D69" s="592">
        <v>1021011</v>
      </c>
      <c r="E69" s="592">
        <v>1</v>
      </c>
      <c r="F69" s="592"/>
      <c r="G69" s="592">
        <v>620</v>
      </c>
      <c r="H69" s="592" t="s">
        <v>120</v>
      </c>
      <c r="I69" s="592"/>
      <c r="J69" s="592" t="s">
        <v>433</v>
      </c>
      <c r="K69" s="593" t="b">
        <f>TRUE</f>
        <v>1</v>
      </c>
      <c r="L69" s="594">
        <v>2013</v>
      </c>
      <c r="M69" s="595">
        <v>1847654.7</v>
      </c>
      <c r="N69" s="596">
        <v>41361</v>
      </c>
      <c r="O69" s="596">
        <v>41361</v>
      </c>
    </row>
    <row r="70" spans="1:15" ht="12.75">
      <c r="A70" s="590">
        <v>2013</v>
      </c>
      <c r="B70" s="591" t="s">
        <v>481</v>
      </c>
      <c r="C70" s="591" t="s">
        <v>482</v>
      </c>
      <c r="D70" s="592">
        <v>1021011</v>
      </c>
      <c r="E70" s="592">
        <v>1</v>
      </c>
      <c r="F70" s="592"/>
      <c r="G70" s="592">
        <v>620</v>
      </c>
      <c r="H70" s="592" t="s">
        <v>120</v>
      </c>
      <c r="I70" s="592"/>
      <c r="J70" s="592" t="s">
        <v>433</v>
      </c>
      <c r="K70" s="593" t="b">
        <f>TRUE</f>
        <v>1</v>
      </c>
      <c r="L70" s="594">
        <v>2014</v>
      </c>
      <c r="M70" s="595">
        <v>623580.3</v>
      </c>
      <c r="N70" s="596">
        <v>41361</v>
      </c>
      <c r="O70" s="596">
        <v>41361</v>
      </c>
    </row>
    <row r="71" spans="1:15" ht="12.75">
      <c r="A71" s="590">
        <v>2013</v>
      </c>
      <c r="B71" s="591" t="s">
        <v>481</v>
      </c>
      <c r="C71" s="591" t="s">
        <v>482</v>
      </c>
      <c r="D71" s="592">
        <v>1021011</v>
      </c>
      <c r="E71" s="592">
        <v>1</v>
      </c>
      <c r="F71" s="592"/>
      <c r="G71" s="592">
        <v>770</v>
      </c>
      <c r="H71" s="592" t="s">
        <v>148</v>
      </c>
      <c r="I71" s="592"/>
      <c r="J71" s="592" t="s">
        <v>447</v>
      </c>
      <c r="K71" s="593" t="b">
        <f>TRUE</f>
        <v>1</v>
      </c>
      <c r="L71" s="594">
        <v>2013</v>
      </c>
      <c r="M71" s="595">
        <v>529995.71</v>
      </c>
      <c r="N71" s="596">
        <v>41361</v>
      </c>
      <c r="O71" s="596">
        <v>41361</v>
      </c>
    </row>
    <row r="72" spans="1:15" ht="12.75">
      <c r="A72" s="590">
        <v>2013</v>
      </c>
      <c r="B72" s="591" t="s">
        <v>481</v>
      </c>
      <c r="C72" s="591" t="s">
        <v>482</v>
      </c>
      <c r="D72" s="592">
        <v>1021011</v>
      </c>
      <c r="E72" s="592">
        <v>1</v>
      </c>
      <c r="F72" s="592"/>
      <c r="G72" s="592">
        <v>550</v>
      </c>
      <c r="H72" s="592">
        <v>10</v>
      </c>
      <c r="I72" s="592"/>
      <c r="J72" s="592" t="s">
        <v>427</v>
      </c>
      <c r="K72" s="593" t="b">
        <f>FALSE</f>
        <v>0</v>
      </c>
      <c r="L72" s="594">
        <v>2014</v>
      </c>
      <c r="M72" s="595">
        <v>1300000</v>
      </c>
      <c r="N72" s="596">
        <v>41361</v>
      </c>
      <c r="O72" s="596">
        <v>41361</v>
      </c>
    </row>
    <row r="73" spans="1:15" ht="12.75">
      <c r="A73" s="590">
        <v>2013</v>
      </c>
      <c r="B73" s="591" t="s">
        <v>481</v>
      </c>
      <c r="C73" s="591" t="s">
        <v>482</v>
      </c>
      <c r="D73" s="592">
        <v>1021011</v>
      </c>
      <c r="E73" s="592">
        <v>1</v>
      </c>
      <c r="F73" s="592"/>
      <c r="G73" s="592">
        <v>550</v>
      </c>
      <c r="H73" s="592">
        <v>10</v>
      </c>
      <c r="I73" s="592"/>
      <c r="J73" s="592" t="s">
        <v>427</v>
      </c>
      <c r="K73" s="593" t="b">
        <f>FALSE</f>
        <v>0</v>
      </c>
      <c r="L73" s="594">
        <v>2018</v>
      </c>
      <c r="M73" s="595">
        <v>2100000</v>
      </c>
      <c r="N73" s="596">
        <v>41361</v>
      </c>
      <c r="O73" s="596">
        <v>41361</v>
      </c>
    </row>
    <row r="74" spans="1:15" ht="12.75">
      <c r="A74" s="590">
        <v>2013</v>
      </c>
      <c r="B74" s="591" t="s">
        <v>481</v>
      </c>
      <c r="C74" s="591" t="s">
        <v>482</v>
      </c>
      <c r="D74" s="592">
        <v>1021011</v>
      </c>
      <c r="E74" s="592">
        <v>1</v>
      </c>
      <c r="F74" s="592"/>
      <c r="G74" s="592">
        <v>550</v>
      </c>
      <c r="H74" s="592">
        <v>10</v>
      </c>
      <c r="I74" s="592"/>
      <c r="J74" s="592" t="s">
        <v>427</v>
      </c>
      <c r="K74" s="593" t="b">
        <f>FALSE</f>
        <v>0</v>
      </c>
      <c r="L74" s="594">
        <v>2019</v>
      </c>
      <c r="M74" s="595">
        <v>2000000</v>
      </c>
      <c r="N74" s="596">
        <v>41361</v>
      </c>
      <c r="O74" s="596">
        <v>41361</v>
      </c>
    </row>
    <row r="75" spans="1:15" ht="12.75">
      <c r="A75" s="590">
        <v>2013</v>
      </c>
      <c r="B75" s="591" t="s">
        <v>481</v>
      </c>
      <c r="C75" s="591" t="s">
        <v>482</v>
      </c>
      <c r="D75" s="592">
        <v>1021011</v>
      </c>
      <c r="E75" s="592">
        <v>1</v>
      </c>
      <c r="F75" s="592"/>
      <c r="G75" s="592">
        <v>550</v>
      </c>
      <c r="H75" s="592">
        <v>10</v>
      </c>
      <c r="I75" s="592"/>
      <c r="J75" s="592" t="s">
        <v>427</v>
      </c>
      <c r="K75" s="593" t="b">
        <f>FALSE</f>
        <v>0</v>
      </c>
      <c r="L75" s="594">
        <v>2020</v>
      </c>
      <c r="M75" s="595">
        <v>2000000</v>
      </c>
      <c r="N75" s="596">
        <v>41361</v>
      </c>
      <c r="O75" s="596">
        <v>41361</v>
      </c>
    </row>
    <row r="76" spans="1:15" ht="12.75">
      <c r="A76" s="590">
        <v>2013</v>
      </c>
      <c r="B76" s="591" t="s">
        <v>481</v>
      </c>
      <c r="C76" s="591" t="s">
        <v>482</v>
      </c>
      <c r="D76" s="592">
        <v>1021011</v>
      </c>
      <c r="E76" s="592">
        <v>1</v>
      </c>
      <c r="F76" s="592"/>
      <c r="G76" s="592">
        <v>550</v>
      </c>
      <c r="H76" s="592">
        <v>10</v>
      </c>
      <c r="I76" s="592"/>
      <c r="J76" s="592" t="s">
        <v>427</v>
      </c>
      <c r="K76" s="593" t="b">
        <f>FALSE</f>
        <v>0</v>
      </c>
      <c r="L76" s="594">
        <v>2021</v>
      </c>
      <c r="M76" s="595">
        <v>1000000</v>
      </c>
      <c r="N76" s="596">
        <v>41361</v>
      </c>
      <c r="O76" s="596">
        <v>41361</v>
      </c>
    </row>
    <row r="77" spans="1:15" ht="12.75">
      <c r="A77" s="590">
        <v>2013</v>
      </c>
      <c r="B77" s="591" t="s">
        <v>481</v>
      </c>
      <c r="C77" s="591" t="s">
        <v>482</v>
      </c>
      <c r="D77" s="592">
        <v>1021011</v>
      </c>
      <c r="E77" s="592">
        <v>1</v>
      </c>
      <c r="F77" s="592"/>
      <c r="G77" s="592">
        <v>550</v>
      </c>
      <c r="H77" s="592">
        <v>10</v>
      </c>
      <c r="I77" s="592"/>
      <c r="J77" s="592" t="s">
        <v>427</v>
      </c>
      <c r="K77" s="593" t="b">
        <f>FALSE</f>
        <v>0</v>
      </c>
      <c r="L77" s="594">
        <v>2022</v>
      </c>
      <c r="M77" s="595">
        <v>1023368.16</v>
      </c>
      <c r="N77" s="596">
        <v>41361</v>
      </c>
      <c r="O77" s="596">
        <v>41361</v>
      </c>
    </row>
    <row r="78" spans="1:15" ht="12.75">
      <c r="A78" s="590">
        <v>2013</v>
      </c>
      <c r="B78" s="591" t="s">
        <v>481</v>
      </c>
      <c r="C78" s="591" t="s">
        <v>482</v>
      </c>
      <c r="D78" s="592">
        <v>1021011</v>
      </c>
      <c r="E78" s="592">
        <v>1</v>
      </c>
      <c r="F78" s="592"/>
      <c r="G78" s="592">
        <v>180</v>
      </c>
      <c r="H78" s="592" t="s">
        <v>42</v>
      </c>
      <c r="I78" s="592"/>
      <c r="J78" s="592" t="s">
        <v>398</v>
      </c>
      <c r="K78" s="593" t="b">
        <f>FALSE</f>
        <v>0</v>
      </c>
      <c r="L78" s="594">
        <v>2013</v>
      </c>
      <c r="M78" s="595">
        <v>850000</v>
      </c>
      <c r="N78" s="596">
        <v>41361</v>
      </c>
      <c r="O78" s="596">
        <v>41361</v>
      </c>
    </row>
    <row r="79" spans="1:15" ht="12.75">
      <c r="A79" s="590">
        <v>2013</v>
      </c>
      <c r="B79" s="591" t="s">
        <v>481</v>
      </c>
      <c r="C79" s="591" t="s">
        <v>482</v>
      </c>
      <c r="D79" s="592">
        <v>1021011</v>
      </c>
      <c r="E79" s="592">
        <v>1</v>
      </c>
      <c r="F79" s="592"/>
      <c r="G79" s="592">
        <v>180</v>
      </c>
      <c r="H79" s="592" t="s">
        <v>42</v>
      </c>
      <c r="I79" s="592"/>
      <c r="J79" s="592" t="s">
        <v>398</v>
      </c>
      <c r="K79" s="593" t="b">
        <f>FALSE</f>
        <v>0</v>
      </c>
      <c r="L79" s="594">
        <v>2014</v>
      </c>
      <c r="M79" s="595">
        <v>750000</v>
      </c>
      <c r="N79" s="596">
        <v>41361</v>
      </c>
      <c r="O79" s="596">
        <v>41361</v>
      </c>
    </row>
    <row r="80" spans="1:15" ht="12.75">
      <c r="A80" s="590">
        <v>2013</v>
      </c>
      <c r="B80" s="591" t="s">
        <v>481</v>
      </c>
      <c r="C80" s="591" t="s">
        <v>482</v>
      </c>
      <c r="D80" s="592">
        <v>1021011</v>
      </c>
      <c r="E80" s="592">
        <v>1</v>
      </c>
      <c r="F80" s="592"/>
      <c r="G80" s="592">
        <v>180</v>
      </c>
      <c r="H80" s="592" t="s">
        <v>42</v>
      </c>
      <c r="I80" s="592"/>
      <c r="J80" s="592" t="s">
        <v>398</v>
      </c>
      <c r="K80" s="593" t="b">
        <f>FALSE</f>
        <v>0</v>
      </c>
      <c r="L80" s="594">
        <v>2015</v>
      </c>
      <c r="M80" s="595">
        <v>650000</v>
      </c>
      <c r="N80" s="596">
        <v>41361</v>
      </c>
      <c r="O80" s="596">
        <v>41361</v>
      </c>
    </row>
    <row r="81" spans="1:15" ht="12.75">
      <c r="A81" s="590">
        <v>2013</v>
      </c>
      <c r="B81" s="591" t="s">
        <v>481</v>
      </c>
      <c r="C81" s="591" t="s">
        <v>482</v>
      </c>
      <c r="D81" s="592">
        <v>1021011</v>
      </c>
      <c r="E81" s="592">
        <v>1</v>
      </c>
      <c r="F81" s="592"/>
      <c r="G81" s="592">
        <v>180</v>
      </c>
      <c r="H81" s="592" t="s">
        <v>42</v>
      </c>
      <c r="I81" s="592"/>
      <c r="J81" s="592" t="s">
        <v>398</v>
      </c>
      <c r="K81" s="593" t="b">
        <f>FALSE</f>
        <v>0</v>
      </c>
      <c r="L81" s="594">
        <v>2016</v>
      </c>
      <c r="M81" s="595">
        <v>420000</v>
      </c>
      <c r="N81" s="596">
        <v>41361</v>
      </c>
      <c r="O81" s="596">
        <v>41361</v>
      </c>
    </row>
    <row r="82" spans="1:15" ht="12.75">
      <c r="A82" s="590">
        <v>2013</v>
      </c>
      <c r="B82" s="591" t="s">
        <v>481</v>
      </c>
      <c r="C82" s="591" t="s">
        <v>482</v>
      </c>
      <c r="D82" s="592">
        <v>1021011</v>
      </c>
      <c r="E82" s="592">
        <v>1</v>
      </c>
      <c r="F82" s="592"/>
      <c r="G82" s="592">
        <v>180</v>
      </c>
      <c r="H82" s="592" t="s">
        <v>42</v>
      </c>
      <c r="I82" s="592"/>
      <c r="J82" s="592" t="s">
        <v>398</v>
      </c>
      <c r="K82" s="593" t="b">
        <f>FALSE</f>
        <v>0</v>
      </c>
      <c r="L82" s="594">
        <v>2017</v>
      </c>
      <c r="M82" s="595">
        <v>290000</v>
      </c>
      <c r="N82" s="596">
        <v>41361</v>
      </c>
      <c r="O82" s="596">
        <v>41361</v>
      </c>
    </row>
    <row r="83" spans="1:15" ht="12.75">
      <c r="A83" s="590">
        <v>2013</v>
      </c>
      <c r="B83" s="591" t="s">
        <v>481</v>
      </c>
      <c r="C83" s="591" t="s">
        <v>482</v>
      </c>
      <c r="D83" s="592">
        <v>1021011</v>
      </c>
      <c r="E83" s="592">
        <v>1</v>
      </c>
      <c r="F83" s="592"/>
      <c r="G83" s="592">
        <v>180</v>
      </c>
      <c r="H83" s="592" t="s">
        <v>42</v>
      </c>
      <c r="I83" s="592"/>
      <c r="J83" s="592" t="s">
        <v>398</v>
      </c>
      <c r="K83" s="593" t="b">
        <f>FALSE</f>
        <v>0</v>
      </c>
      <c r="L83" s="594">
        <v>2018</v>
      </c>
      <c r="M83" s="595">
        <v>230000</v>
      </c>
      <c r="N83" s="596">
        <v>41361</v>
      </c>
      <c r="O83" s="596">
        <v>41361</v>
      </c>
    </row>
    <row r="84" spans="1:15" ht="12.75">
      <c r="A84" s="590">
        <v>2013</v>
      </c>
      <c r="B84" s="591" t="s">
        <v>481</v>
      </c>
      <c r="C84" s="591" t="s">
        <v>482</v>
      </c>
      <c r="D84" s="592">
        <v>1021011</v>
      </c>
      <c r="E84" s="592">
        <v>1</v>
      </c>
      <c r="F84" s="592"/>
      <c r="G84" s="592">
        <v>180</v>
      </c>
      <c r="H84" s="592" t="s">
        <v>42</v>
      </c>
      <c r="I84" s="592"/>
      <c r="J84" s="592" t="s">
        <v>398</v>
      </c>
      <c r="K84" s="593" t="b">
        <f>FALSE</f>
        <v>0</v>
      </c>
      <c r="L84" s="594">
        <v>2019</v>
      </c>
      <c r="M84" s="595">
        <v>170000</v>
      </c>
      <c r="N84" s="596">
        <v>41361</v>
      </c>
      <c r="O84" s="596">
        <v>41361</v>
      </c>
    </row>
    <row r="85" spans="1:15" ht="12.75">
      <c r="A85" s="590">
        <v>2013</v>
      </c>
      <c r="B85" s="591" t="s">
        <v>481</v>
      </c>
      <c r="C85" s="591" t="s">
        <v>482</v>
      </c>
      <c r="D85" s="592">
        <v>1021011</v>
      </c>
      <c r="E85" s="592">
        <v>1</v>
      </c>
      <c r="F85" s="592"/>
      <c r="G85" s="592">
        <v>180</v>
      </c>
      <c r="H85" s="592" t="s">
        <v>42</v>
      </c>
      <c r="I85" s="592"/>
      <c r="J85" s="592" t="s">
        <v>398</v>
      </c>
      <c r="K85" s="593" t="b">
        <f>FALSE</f>
        <v>0</v>
      </c>
      <c r="L85" s="594">
        <v>2020</v>
      </c>
      <c r="M85" s="595">
        <v>140000</v>
      </c>
      <c r="N85" s="596">
        <v>41361</v>
      </c>
      <c r="O85" s="596">
        <v>41361</v>
      </c>
    </row>
    <row r="86" spans="1:15" ht="12.75">
      <c r="A86" s="590">
        <v>2013</v>
      </c>
      <c r="B86" s="591" t="s">
        <v>481</v>
      </c>
      <c r="C86" s="591" t="s">
        <v>482</v>
      </c>
      <c r="D86" s="592">
        <v>1021011</v>
      </c>
      <c r="E86" s="592">
        <v>1</v>
      </c>
      <c r="F86" s="592"/>
      <c r="G86" s="592">
        <v>180</v>
      </c>
      <c r="H86" s="592" t="s">
        <v>42</v>
      </c>
      <c r="I86" s="592"/>
      <c r="J86" s="592" t="s">
        <v>398</v>
      </c>
      <c r="K86" s="593" t="b">
        <f>FALSE</f>
        <v>0</v>
      </c>
      <c r="L86" s="594">
        <v>2021</v>
      </c>
      <c r="M86" s="595">
        <v>110000</v>
      </c>
      <c r="N86" s="596">
        <v>41361</v>
      </c>
      <c r="O86" s="596">
        <v>41361</v>
      </c>
    </row>
    <row r="87" spans="1:15" ht="12.75">
      <c r="A87" s="590">
        <v>2013</v>
      </c>
      <c r="B87" s="591" t="s">
        <v>481</v>
      </c>
      <c r="C87" s="591" t="s">
        <v>482</v>
      </c>
      <c r="D87" s="592">
        <v>1021011</v>
      </c>
      <c r="E87" s="592">
        <v>1</v>
      </c>
      <c r="F87" s="592"/>
      <c r="G87" s="592">
        <v>180</v>
      </c>
      <c r="H87" s="592" t="s">
        <v>42</v>
      </c>
      <c r="I87" s="592"/>
      <c r="J87" s="592" t="s">
        <v>398</v>
      </c>
      <c r="K87" s="593" t="b">
        <f>FALSE</f>
        <v>0</v>
      </c>
      <c r="L87" s="594">
        <v>2022</v>
      </c>
      <c r="M87" s="595">
        <v>60000</v>
      </c>
      <c r="N87" s="596">
        <v>41361</v>
      </c>
      <c r="O87" s="596">
        <v>41361</v>
      </c>
    </row>
    <row r="88" spans="1:15" ht="12.75">
      <c r="A88" s="590">
        <v>2013</v>
      </c>
      <c r="B88" s="591" t="s">
        <v>481</v>
      </c>
      <c r="C88" s="591" t="s">
        <v>482</v>
      </c>
      <c r="D88" s="592">
        <v>1021011</v>
      </c>
      <c r="E88" s="592">
        <v>1</v>
      </c>
      <c r="F88" s="592"/>
      <c r="G88" s="592">
        <v>730</v>
      </c>
      <c r="H88" s="592">
        <v>12.3</v>
      </c>
      <c r="I88" s="592"/>
      <c r="J88" s="592" t="s">
        <v>443</v>
      </c>
      <c r="K88" s="593" t="b">
        <f>FALSE</f>
        <v>0</v>
      </c>
      <c r="L88" s="594">
        <v>2013</v>
      </c>
      <c r="M88" s="595">
        <v>1742648.2</v>
      </c>
      <c r="N88" s="596">
        <v>41361</v>
      </c>
      <c r="O88" s="596">
        <v>41361</v>
      </c>
    </row>
    <row r="89" spans="1:15" ht="12.75">
      <c r="A89" s="590">
        <v>2013</v>
      </c>
      <c r="B89" s="591" t="s">
        <v>481</v>
      </c>
      <c r="C89" s="591" t="s">
        <v>482</v>
      </c>
      <c r="D89" s="592">
        <v>1021011</v>
      </c>
      <c r="E89" s="592">
        <v>1</v>
      </c>
      <c r="F89" s="592"/>
      <c r="G89" s="592">
        <v>730</v>
      </c>
      <c r="H89" s="592">
        <v>12.3</v>
      </c>
      <c r="I89" s="592"/>
      <c r="J89" s="592" t="s">
        <v>443</v>
      </c>
      <c r="K89" s="593" t="b">
        <f>FALSE</f>
        <v>0</v>
      </c>
      <c r="L89" s="594">
        <v>2014</v>
      </c>
      <c r="M89" s="595">
        <v>262135.15</v>
      </c>
      <c r="N89" s="596">
        <v>41361</v>
      </c>
      <c r="O89" s="596">
        <v>41361</v>
      </c>
    </row>
    <row r="90" spans="1:15" ht="12.75">
      <c r="A90" s="590">
        <v>2013</v>
      </c>
      <c r="B90" s="591" t="s">
        <v>481</v>
      </c>
      <c r="C90" s="591" t="s">
        <v>482</v>
      </c>
      <c r="D90" s="592">
        <v>1021011</v>
      </c>
      <c r="E90" s="592">
        <v>1</v>
      </c>
      <c r="F90" s="592"/>
      <c r="G90" s="592">
        <v>260</v>
      </c>
      <c r="H90" s="592">
        <v>4.3</v>
      </c>
      <c r="I90" s="592"/>
      <c r="J90" s="592" t="s">
        <v>404</v>
      </c>
      <c r="K90" s="593" t="b">
        <f>TRUE</f>
        <v>1</v>
      </c>
      <c r="L90" s="594">
        <v>2013</v>
      </c>
      <c r="M90" s="595">
        <v>2254000</v>
      </c>
      <c r="N90" s="596">
        <v>41361</v>
      </c>
      <c r="O90" s="596">
        <v>41361</v>
      </c>
    </row>
    <row r="91" spans="1:15" ht="12.75">
      <c r="A91" s="590">
        <v>2013</v>
      </c>
      <c r="B91" s="591" t="s">
        <v>481</v>
      </c>
      <c r="C91" s="591" t="s">
        <v>482</v>
      </c>
      <c r="D91" s="592">
        <v>1021011</v>
      </c>
      <c r="E91" s="592">
        <v>1</v>
      </c>
      <c r="F91" s="592"/>
      <c r="G91" s="592">
        <v>390</v>
      </c>
      <c r="H91" s="592">
        <v>6.3</v>
      </c>
      <c r="I91" s="592" t="s">
        <v>484</v>
      </c>
      <c r="J91" s="592" t="s">
        <v>413</v>
      </c>
      <c r="K91" s="593" t="b">
        <f>FALSE</f>
        <v>0</v>
      </c>
      <c r="L91" s="594">
        <v>2013</v>
      </c>
      <c r="M91" s="595">
        <v>0.4853</v>
      </c>
      <c r="N91" s="596">
        <v>41361</v>
      </c>
      <c r="O91" s="596">
        <v>41361</v>
      </c>
    </row>
    <row r="92" spans="1:15" ht="12.75">
      <c r="A92" s="590">
        <v>2013</v>
      </c>
      <c r="B92" s="591" t="s">
        <v>481</v>
      </c>
      <c r="C92" s="591" t="s">
        <v>482</v>
      </c>
      <c r="D92" s="592">
        <v>1021011</v>
      </c>
      <c r="E92" s="592">
        <v>1</v>
      </c>
      <c r="F92" s="592"/>
      <c r="G92" s="592">
        <v>390</v>
      </c>
      <c r="H92" s="592">
        <v>6.3</v>
      </c>
      <c r="I92" s="592" t="s">
        <v>484</v>
      </c>
      <c r="J92" s="592" t="s">
        <v>413</v>
      </c>
      <c r="K92" s="593" t="b">
        <f>FALSE</f>
        <v>0</v>
      </c>
      <c r="L92" s="594">
        <v>2014</v>
      </c>
      <c r="M92" s="595">
        <v>0.4623</v>
      </c>
      <c r="N92" s="596">
        <v>41361</v>
      </c>
      <c r="O92" s="596">
        <v>41361</v>
      </c>
    </row>
    <row r="93" spans="1:15" ht="12.75">
      <c r="A93" s="590">
        <v>2013</v>
      </c>
      <c r="B93" s="591" t="s">
        <v>481</v>
      </c>
      <c r="C93" s="591" t="s">
        <v>482</v>
      </c>
      <c r="D93" s="592">
        <v>1021011</v>
      </c>
      <c r="E93" s="592">
        <v>1</v>
      </c>
      <c r="F93" s="592"/>
      <c r="G93" s="592">
        <v>390</v>
      </c>
      <c r="H93" s="592">
        <v>6.3</v>
      </c>
      <c r="I93" s="592" t="s">
        <v>484</v>
      </c>
      <c r="J93" s="592" t="s">
        <v>413</v>
      </c>
      <c r="K93" s="593" t="b">
        <f>FALSE</f>
        <v>0</v>
      </c>
      <c r="L93" s="594">
        <v>2015</v>
      </c>
      <c r="M93" s="595">
        <v>0.3985</v>
      </c>
      <c r="N93" s="596">
        <v>41361</v>
      </c>
      <c r="O93" s="596">
        <v>41361</v>
      </c>
    </row>
    <row r="94" spans="1:15" ht="12.75">
      <c r="A94" s="590">
        <v>2013</v>
      </c>
      <c r="B94" s="591" t="s">
        <v>481</v>
      </c>
      <c r="C94" s="591" t="s">
        <v>482</v>
      </c>
      <c r="D94" s="592">
        <v>1021011</v>
      </c>
      <c r="E94" s="592">
        <v>1</v>
      </c>
      <c r="F94" s="592"/>
      <c r="G94" s="592">
        <v>310</v>
      </c>
      <c r="H94" s="592">
        <v>5.1</v>
      </c>
      <c r="I94" s="592"/>
      <c r="J94" s="592" t="s">
        <v>406</v>
      </c>
      <c r="K94" s="593" t="b">
        <f>TRUE</f>
        <v>1</v>
      </c>
      <c r="L94" s="594">
        <v>2015</v>
      </c>
      <c r="M94" s="595">
        <v>1850000</v>
      </c>
      <c r="N94" s="596">
        <v>41361</v>
      </c>
      <c r="O94" s="596">
        <v>41361</v>
      </c>
    </row>
    <row r="95" spans="1:15" ht="12.75">
      <c r="A95" s="590">
        <v>2013</v>
      </c>
      <c r="B95" s="591" t="s">
        <v>481</v>
      </c>
      <c r="C95" s="591" t="s">
        <v>482</v>
      </c>
      <c r="D95" s="592">
        <v>1021011</v>
      </c>
      <c r="E95" s="592">
        <v>1</v>
      </c>
      <c r="F95" s="592"/>
      <c r="G95" s="592">
        <v>390</v>
      </c>
      <c r="H95" s="592">
        <v>6.3</v>
      </c>
      <c r="I95" s="592" t="s">
        <v>484</v>
      </c>
      <c r="J95" s="592" t="s">
        <v>413</v>
      </c>
      <c r="K95" s="593" t="b">
        <f>FALSE</f>
        <v>0</v>
      </c>
      <c r="L95" s="594">
        <v>2016</v>
      </c>
      <c r="M95" s="595">
        <v>0.3287</v>
      </c>
      <c r="N95" s="596">
        <v>41361</v>
      </c>
      <c r="O95" s="596">
        <v>41361</v>
      </c>
    </row>
    <row r="96" spans="1:15" ht="12.75">
      <c r="A96" s="590">
        <v>2013</v>
      </c>
      <c r="B96" s="591" t="s">
        <v>481</v>
      </c>
      <c r="C96" s="591" t="s">
        <v>482</v>
      </c>
      <c r="D96" s="592">
        <v>1021011</v>
      </c>
      <c r="E96" s="592">
        <v>1</v>
      </c>
      <c r="F96" s="592"/>
      <c r="G96" s="592">
        <v>390</v>
      </c>
      <c r="H96" s="592">
        <v>6.3</v>
      </c>
      <c r="I96" s="592" t="s">
        <v>484</v>
      </c>
      <c r="J96" s="592" t="s">
        <v>413</v>
      </c>
      <c r="K96" s="593" t="b">
        <f>FALSE</f>
        <v>0</v>
      </c>
      <c r="L96" s="594">
        <v>2017</v>
      </c>
      <c r="M96" s="595">
        <v>0.2548</v>
      </c>
      <c r="N96" s="596">
        <v>41361</v>
      </c>
      <c r="O96" s="596">
        <v>41361</v>
      </c>
    </row>
    <row r="97" spans="1:15" ht="12.75">
      <c r="A97" s="590">
        <v>2013</v>
      </c>
      <c r="B97" s="591" t="s">
        <v>481</v>
      </c>
      <c r="C97" s="591" t="s">
        <v>482</v>
      </c>
      <c r="D97" s="592">
        <v>1021011</v>
      </c>
      <c r="E97" s="592">
        <v>1</v>
      </c>
      <c r="F97" s="592"/>
      <c r="G97" s="592">
        <v>390</v>
      </c>
      <c r="H97" s="592">
        <v>6.3</v>
      </c>
      <c r="I97" s="592" t="s">
        <v>484</v>
      </c>
      <c r="J97" s="592" t="s">
        <v>413</v>
      </c>
      <c r="K97" s="593" t="b">
        <f>FALSE</f>
        <v>0</v>
      </c>
      <c r="L97" s="594">
        <v>2018</v>
      </c>
      <c r="M97" s="595">
        <v>0.1863</v>
      </c>
      <c r="N97" s="596">
        <v>41361</v>
      </c>
      <c r="O97" s="596">
        <v>41361</v>
      </c>
    </row>
    <row r="98" spans="1:15" ht="12.75">
      <c r="A98" s="590">
        <v>2013</v>
      </c>
      <c r="B98" s="591" t="s">
        <v>481</v>
      </c>
      <c r="C98" s="591" t="s">
        <v>482</v>
      </c>
      <c r="D98" s="592">
        <v>1021011</v>
      </c>
      <c r="E98" s="592">
        <v>1</v>
      </c>
      <c r="F98" s="592"/>
      <c r="G98" s="592">
        <v>390</v>
      </c>
      <c r="H98" s="592">
        <v>6.3</v>
      </c>
      <c r="I98" s="592" t="s">
        <v>484</v>
      </c>
      <c r="J98" s="592" t="s">
        <v>413</v>
      </c>
      <c r="K98" s="593" t="b">
        <f>FALSE</f>
        <v>0</v>
      </c>
      <c r="L98" s="594">
        <v>2019</v>
      </c>
      <c r="M98" s="595">
        <v>0.1228</v>
      </c>
      <c r="N98" s="596">
        <v>41361</v>
      </c>
      <c r="O98" s="596">
        <v>41361</v>
      </c>
    </row>
    <row r="99" spans="1:15" ht="12.75">
      <c r="A99" s="590">
        <v>2013</v>
      </c>
      <c r="B99" s="591" t="s">
        <v>481</v>
      </c>
      <c r="C99" s="591" t="s">
        <v>482</v>
      </c>
      <c r="D99" s="592">
        <v>1021011</v>
      </c>
      <c r="E99" s="592">
        <v>1</v>
      </c>
      <c r="F99" s="592"/>
      <c r="G99" s="592">
        <v>390</v>
      </c>
      <c r="H99" s="592">
        <v>6.3</v>
      </c>
      <c r="I99" s="592" t="s">
        <v>484</v>
      </c>
      <c r="J99" s="592" t="s">
        <v>413</v>
      </c>
      <c r="K99" s="593" t="b">
        <f>FALSE</f>
        <v>0</v>
      </c>
      <c r="L99" s="594">
        <v>2020</v>
      </c>
      <c r="M99" s="595">
        <v>0.0613</v>
      </c>
      <c r="N99" s="596">
        <v>41361</v>
      </c>
      <c r="O99" s="596">
        <v>41361</v>
      </c>
    </row>
    <row r="100" spans="1:15" ht="12.75">
      <c r="A100" s="590">
        <v>2013</v>
      </c>
      <c r="B100" s="591" t="s">
        <v>481</v>
      </c>
      <c r="C100" s="591" t="s">
        <v>482</v>
      </c>
      <c r="D100" s="592">
        <v>1021011</v>
      </c>
      <c r="E100" s="592">
        <v>1</v>
      </c>
      <c r="F100" s="592"/>
      <c r="G100" s="592">
        <v>390</v>
      </c>
      <c r="H100" s="592">
        <v>6.3</v>
      </c>
      <c r="I100" s="592" t="s">
        <v>484</v>
      </c>
      <c r="J100" s="592" t="s">
        <v>413</v>
      </c>
      <c r="K100" s="593" t="b">
        <f>FALSE</f>
        <v>0</v>
      </c>
      <c r="L100" s="594">
        <v>2021</v>
      </c>
      <c r="M100" s="595">
        <v>0.031</v>
      </c>
      <c r="N100" s="596">
        <v>41361</v>
      </c>
      <c r="O100" s="596">
        <v>41361</v>
      </c>
    </row>
    <row r="101" spans="1:15" ht="12.75">
      <c r="A101" s="590">
        <v>2013</v>
      </c>
      <c r="B101" s="591" t="s">
        <v>481</v>
      </c>
      <c r="C101" s="591" t="s">
        <v>482</v>
      </c>
      <c r="D101" s="592">
        <v>1021011</v>
      </c>
      <c r="E101" s="592">
        <v>1</v>
      </c>
      <c r="F101" s="592"/>
      <c r="G101" s="592">
        <v>460</v>
      </c>
      <c r="H101" s="592">
        <v>9.2</v>
      </c>
      <c r="I101" s="592" t="s">
        <v>485</v>
      </c>
      <c r="J101" s="592" t="s">
        <v>418</v>
      </c>
      <c r="K101" s="593" t="b">
        <f>FALSE</f>
        <v>0</v>
      </c>
      <c r="L101" s="594">
        <v>2013</v>
      </c>
      <c r="M101" s="595">
        <v>0.1006</v>
      </c>
      <c r="N101" s="596">
        <v>41361</v>
      </c>
      <c r="O101" s="596">
        <v>41361</v>
      </c>
    </row>
    <row r="102" spans="1:15" ht="12.75">
      <c r="A102" s="590">
        <v>2013</v>
      </c>
      <c r="B102" s="591" t="s">
        <v>481</v>
      </c>
      <c r="C102" s="591" t="s">
        <v>482</v>
      </c>
      <c r="D102" s="592">
        <v>1021011</v>
      </c>
      <c r="E102" s="592">
        <v>1</v>
      </c>
      <c r="F102" s="592"/>
      <c r="G102" s="592">
        <v>460</v>
      </c>
      <c r="H102" s="592">
        <v>9.2</v>
      </c>
      <c r="I102" s="592" t="s">
        <v>485</v>
      </c>
      <c r="J102" s="592" t="s">
        <v>418</v>
      </c>
      <c r="K102" s="593" t="b">
        <f>FALSE</f>
        <v>0</v>
      </c>
      <c r="L102" s="594">
        <v>2014</v>
      </c>
      <c r="M102" s="595">
        <v>0.0703</v>
      </c>
      <c r="N102" s="596">
        <v>41361</v>
      </c>
      <c r="O102" s="596">
        <v>41361</v>
      </c>
    </row>
    <row r="103" spans="1:15" ht="12.75">
      <c r="A103" s="590">
        <v>2013</v>
      </c>
      <c r="B103" s="591" t="s">
        <v>481</v>
      </c>
      <c r="C103" s="591" t="s">
        <v>482</v>
      </c>
      <c r="D103" s="592">
        <v>1021011</v>
      </c>
      <c r="E103" s="592">
        <v>1</v>
      </c>
      <c r="F103" s="592"/>
      <c r="G103" s="592">
        <v>460</v>
      </c>
      <c r="H103" s="592">
        <v>9.2</v>
      </c>
      <c r="I103" s="592" t="s">
        <v>485</v>
      </c>
      <c r="J103" s="592" t="s">
        <v>418</v>
      </c>
      <c r="K103" s="593" t="b">
        <f>FALSE</f>
        <v>0</v>
      </c>
      <c r="L103" s="594">
        <v>2015</v>
      </c>
      <c r="M103" s="595">
        <v>0.0842</v>
      </c>
      <c r="N103" s="596">
        <v>41361</v>
      </c>
      <c r="O103" s="596">
        <v>41361</v>
      </c>
    </row>
    <row r="104" spans="1:15" ht="12.75">
      <c r="A104" s="590">
        <v>2013</v>
      </c>
      <c r="B104" s="591" t="s">
        <v>481</v>
      </c>
      <c r="C104" s="591" t="s">
        <v>482</v>
      </c>
      <c r="D104" s="592">
        <v>1021011</v>
      </c>
      <c r="E104" s="592">
        <v>1</v>
      </c>
      <c r="F104" s="592"/>
      <c r="G104" s="592">
        <v>460</v>
      </c>
      <c r="H104" s="592">
        <v>9.2</v>
      </c>
      <c r="I104" s="592" t="s">
        <v>485</v>
      </c>
      <c r="J104" s="592" t="s">
        <v>418</v>
      </c>
      <c r="K104" s="593" t="b">
        <f>FALSE</f>
        <v>0</v>
      </c>
      <c r="L104" s="594">
        <v>2016</v>
      </c>
      <c r="M104" s="595">
        <v>0.0803</v>
      </c>
      <c r="N104" s="596">
        <v>41361</v>
      </c>
      <c r="O104" s="596">
        <v>41361</v>
      </c>
    </row>
    <row r="105" spans="1:15" ht="12.75">
      <c r="A105" s="590">
        <v>2013</v>
      </c>
      <c r="B105" s="591" t="s">
        <v>481</v>
      </c>
      <c r="C105" s="591" t="s">
        <v>482</v>
      </c>
      <c r="D105" s="592">
        <v>1021011</v>
      </c>
      <c r="E105" s="592">
        <v>1</v>
      </c>
      <c r="F105" s="592"/>
      <c r="G105" s="592">
        <v>460</v>
      </c>
      <c r="H105" s="592">
        <v>9.2</v>
      </c>
      <c r="I105" s="592" t="s">
        <v>485</v>
      </c>
      <c r="J105" s="592" t="s">
        <v>418</v>
      </c>
      <c r="K105" s="593" t="b">
        <f>FALSE</f>
        <v>0</v>
      </c>
      <c r="L105" s="594">
        <v>2017</v>
      </c>
      <c r="M105" s="595">
        <v>0.0813</v>
      </c>
      <c r="N105" s="596">
        <v>41361</v>
      </c>
      <c r="O105" s="596">
        <v>41361</v>
      </c>
    </row>
    <row r="106" spans="1:15" ht="12.75">
      <c r="A106" s="590">
        <v>2013</v>
      </c>
      <c r="B106" s="591" t="s">
        <v>481</v>
      </c>
      <c r="C106" s="591" t="s">
        <v>482</v>
      </c>
      <c r="D106" s="592">
        <v>1021011</v>
      </c>
      <c r="E106" s="592">
        <v>1</v>
      </c>
      <c r="F106" s="592"/>
      <c r="G106" s="592">
        <v>460</v>
      </c>
      <c r="H106" s="592">
        <v>9.2</v>
      </c>
      <c r="I106" s="592" t="s">
        <v>485</v>
      </c>
      <c r="J106" s="592" t="s">
        <v>418</v>
      </c>
      <c r="K106" s="593" t="b">
        <f>FALSE</f>
        <v>0</v>
      </c>
      <c r="L106" s="594">
        <v>2018</v>
      </c>
      <c r="M106" s="595">
        <v>0.0751</v>
      </c>
      <c r="N106" s="596">
        <v>41361</v>
      </c>
      <c r="O106" s="596">
        <v>41361</v>
      </c>
    </row>
    <row r="107" spans="1:15" ht="12.75">
      <c r="A107" s="590">
        <v>2013</v>
      </c>
      <c r="B107" s="591" t="s">
        <v>481</v>
      </c>
      <c r="C107" s="591" t="s">
        <v>482</v>
      </c>
      <c r="D107" s="592">
        <v>1021011</v>
      </c>
      <c r="E107" s="592">
        <v>1</v>
      </c>
      <c r="F107" s="592"/>
      <c r="G107" s="592">
        <v>460</v>
      </c>
      <c r="H107" s="592">
        <v>9.2</v>
      </c>
      <c r="I107" s="592" t="s">
        <v>485</v>
      </c>
      <c r="J107" s="592" t="s">
        <v>418</v>
      </c>
      <c r="K107" s="593" t="b">
        <f>FALSE</f>
        <v>0</v>
      </c>
      <c r="L107" s="594">
        <v>2019</v>
      </c>
      <c r="M107" s="595">
        <v>0.0691</v>
      </c>
      <c r="N107" s="596">
        <v>41361</v>
      </c>
      <c r="O107" s="596">
        <v>41361</v>
      </c>
    </row>
    <row r="108" spans="1:15" ht="12.75">
      <c r="A108" s="590">
        <v>2013</v>
      </c>
      <c r="B108" s="591" t="s">
        <v>481</v>
      </c>
      <c r="C108" s="591" t="s">
        <v>482</v>
      </c>
      <c r="D108" s="592">
        <v>1021011</v>
      </c>
      <c r="E108" s="592">
        <v>1</v>
      </c>
      <c r="F108" s="592"/>
      <c r="G108" s="592">
        <v>460</v>
      </c>
      <c r="H108" s="592">
        <v>9.2</v>
      </c>
      <c r="I108" s="592" t="s">
        <v>485</v>
      </c>
      <c r="J108" s="592" t="s">
        <v>418</v>
      </c>
      <c r="K108" s="593" t="b">
        <f>FALSE</f>
        <v>0</v>
      </c>
      <c r="L108" s="594">
        <v>2020</v>
      </c>
      <c r="M108" s="595">
        <v>0.0672</v>
      </c>
      <c r="N108" s="596">
        <v>41361</v>
      </c>
      <c r="O108" s="596">
        <v>41361</v>
      </c>
    </row>
    <row r="109" spans="1:15" ht="12.75">
      <c r="A109" s="590">
        <v>2013</v>
      </c>
      <c r="B109" s="591" t="s">
        <v>481</v>
      </c>
      <c r="C109" s="591" t="s">
        <v>482</v>
      </c>
      <c r="D109" s="592">
        <v>1021011</v>
      </c>
      <c r="E109" s="592">
        <v>1</v>
      </c>
      <c r="F109" s="592"/>
      <c r="G109" s="592">
        <v>460</v>
      </c>
      <c r="H109" s="592">
        <v>9.2</v>
      </c>
      <c r="I109" s="592" t="s">
        <v>485</v>
      </c>
      <c r="J109" s="592" t="s">
        <v>418</v>
      </c>
      <c r="K109" s="593" t="b">
        <f>FALSE</f>
        <v>0</v>
      </c>
      <c r="L109" s="594">
        <v>2021</v>
      </c>
      <c r="M109" s="595">
        <v>0.0356</v>
      </c>
      <c r="N109" s="596">
        <v>41361</v>
      </c>
      <c r="O109" s="596">
        <v>41361</v>
      </c>
    </row>
    <row r="110" spans="1:15" ht="12.75">
      <c r="A110" s="590">
        <v>2013</v>
      </c>
      <c r="B110" s="591" t="s">
        <v>481</v>
      </c>
      <c r="C110" s="591" t="s">
        <v>482</v>
      </c>
      <c r="D110" s="592">
        <v>1021011</v>
      </c>
      <c r="E110" s="592">
        <v>1</v>
      </c>
      <c r="F110" s="592"/>
      <c r="G110" s="592">
        <v>460</v>
      </c>
      <c r="H110" s="592">
        <v>9.2</v>
      </c>
      <c r="I110" s="592" t="s">
        <v>485</v>
      </c>
      <c r="J110" s="592" t="s">
        <v>418</v>
      </c>
      <c r="K110" s="593" t="b">
        <f>FALSE</f>
        <v>0</v>
      </c>
      <c r="L110" s="594">
        <v>2022</v>
      </c>
      <c r="M110" s="595">
        <v>0.034</v>
      </c>
      <c r="N110" s="596">
        <v>41361</v>
      </c>
      <c r="O110" s="596">
        <v>41361</v>
      </c>
    </row>
    <row r="111" spans="1:15" ht="12.75">
      <c r="A111" s="590">
        <v>2013</v>
      </c>
      <c r="B111" s="591" t="s">
        <v>481</v>
      </c>
      <c r="C111" s="591" t="s">
        <v>482</v>
      </c>
      <c r="D111" s="592">
        <v>1021011</v>
      </c>
      <c r="E111" s="592">
        <v>1</v>
      </c>
      <c r="F111" s="592"/>
      <c r="G111" s="592">
        <v>460</v>
      </c>
      <c r="H111" s="592">
        <v>9.2</v>
      </c>
      <c r="I111" s="592" t="s">
        <v>485</v>
      </c>
      <c r="J111" s="592" t="s">
        <v>418</v>
      </c>
      <c r="K111" s="593" t="b">
        <f>FALSE</f>
        <v>0</v>
      </c>
      <c r="L111" s="594">
        <v>2023</v>
      </c>
      <c r="M111" s="595">
        <v>0.0017</v>
      </c>
      <c r="N111" s="596">
        <v>41361</v>
      </c>
      <c r="O111" s="596">
        <v>41361</v>
      </c>
    </row>
    <row r="112" spans="1:15" ht="12.75">
      <c r="A112" s="590">
        <v>2013</v>
      </c>
      <c r="B112" s="591" t="s">
        <v>481</v>
      </c>
      <c r="C112" s="591" t="s">
        <v>482</v>
      </c>
      <c r="D112" s="592">
        <v>1021011</v>
      </c>
      <c r="E112" s="592">
        <v>1</v>
      </c>
      <c r="F112" s="592"/>
      <c r="G112" s="592">
        <v>460</v>
      </c>
      <c r="H112" s="592">
        <v>9.2</v>
      </c>
      <c r="I112" s="592" t="s">
        <v>485</v>
      </c>
      <c r="J112" s="592" t="s">
        <v>418</v>
      </c>
      <c r="K112" s="593" t="b">
        <f>FALSE</f>
        <v>0</v>
      </c>
      <c r="L112" s="594">
        <v>2024</v>
      </c>
      <c r="M112" s="595">
        <v>0.0017</v>
      </c>
      <c r="N112" s="596">
        <v>41361</v>
      </c>
      <c r="O112" s="596">
        <v>41361</v>
      </c>
    </row>
    <row r="113" spans="1:15" ht="12.75">
      <c r="A113" s="590">
        <v>2013</v>
      </c>
      <c r="B113" s="591" t="s">
        <v>481</v>
      </c>
      <c r="C113" s="591" t="s">
        <v>482</v>
      </c>
      <c r="D113" s="592">
        <v>1021011</v>
      </c>
      <c r="E113" s="592">
        <v>1</v>
      </c>
      <c r="F113" s="592"/>
      <c r="G113" s="592">
        <v>460</v>
      </c>
      <c r="H113" s="592">
        <v>9.2</v>
      </c>
      <c r="I113" s="592" t="s">
        <v>485</v>
      </c>
      <c r="J113" s="592" t="s">
        <v>418</v>
      </c>
      <c r="K113" s="593" t="b">
        <f>FALSE</f>
        <v>0</v>
      </c>
      <c r="L113" s="594">
        <v>2025</v>
      </c>
      <c r="M113" s="595">
        <v>0.0016</v>
      </c>
      <c r="N113" s="596">
        <v>41361</v>
      </c>
      <c r="O113" s="596">
        <v>41361</v>
      </c>
    </row>
    <row r="114" spans="1:15" ht="12.75">
      <c r="A114" s="590">
        <v>2013</v>
      </c>
      <c r="B114" s="591" t="s">
        <v>481</v>
      </c>
      <c r="C114" s="591" t="s">
        <v>482</v>
      </c>
      <c r="D114" s="592">
        <v>1021011</v>
      </c>
      <c r="E114" s="592">
        <v>1</v>
      </c>
      <c r="F114" s="592"/>
      <c r="G114" s="592">
        <v>460</v>
      </c>
      <c r="H114" s="592">
        <v>9.2</v>
      </c>
      <c r="I114" s="592" t="s">
        <v>485</v>
      </c>
      <c r="J114" s="592" t="s">
        <v>418</v>
      </c>
      <c r="K114" s="593" t="b">
        <f>FALSE</f>
        <v>0</v>
      </c>
      <c r="L114" s="594">
        <v>2026</v>
      </c>
      <c r="M114" s="595">
        <v>0.0016</v>
      </c>
      <c r="N114" s="596">
        <v>41361</v>
      </c>
      <c r="O114" s="596">
        <v>41361</v>
      </c>
    </row>
    <row r="115" spans="1:15" ht="12.75">
      <c r="A115" s="590">
        <v>2013</v>
      </c>
      <c r="B115" s="591" t="s">
        <v>481</v>
      </c>
      <c r="C115" s="591" t="s">
        <v>482</v>
      </c>
      <c r="D115" s="592">
        <v>1021011</v>
      </c>
      <c r="E115" s="592">
        <v>1</v>
      </c>
      <c r="F115" s="592"/>
      <c r="G115" s="592">
        <v>460</v>
      </c>
      <c r="H115" s="592">
        <v>9.2</v>
      </c>
      <c r="I115" s="592" t="s">
        <v>485</v>
      </c>
      <c r="J115" s="592" t="s">
        <v>418</v>
      </c>
      <c r="K115" s="593" t="b">
        <f>FALSE</f>
        <v>0</v>
      </c>
      <c r="L115" s="594">
        <v>2027</v>
      </c>
      <c r="M115" s="595">
        <v>0.0016</v>
      </c>
      <c r="N115" s="596">
        <v>41361</v>
      </c>
      <c r="O115" s="596">
        <v>41361</v>
      </c>
    </row>
    <row r="116" spans="1:15" ht="12.75">
      <c r="A116" s="590">
        <v>2013</v>
      </c>
      <c r="B116" s="591" t="s">
        <v>481</v>
      </c>
      <c r="C116" s="591" t="s">
        <v>482</v>
      </c>
      <c r="D116" s="592">
        <v>1021011</v>
      </c>
      <c r="E116" s="592">
        <v>1</v>
      </c>
      <c r="F116" s="592"/>
      <c r="G116" s="592">
        <v>460</v>
      </c>
      <c r="H116" s="592">
        <v>9.2</v>
      </c>
      <c r="I116" s="592" t="s">
        <v>485</v>
      </c>
      <c r="J116" s="592" t="s">
        <v>418</v>
      </c>
      <c r="K116" s="593" t="b">
        <f>FALSE</f>
        <v>0</v>
      </c>
      <c r="L116" s="594">
        <v>2028</v>
      </c>
      <c r="M116" s="595">
        <v>0.0016</v>
      </c>
      <c r="N116" s="596">
        <v>41361</v>
      </c>
      <c r="O116" s="596">
        <v>41361</v>
      </c>
    </row>
    <row r="117" spans="1:15" ht="12.75">
      <c r="A117" s="590">
        <v>2013</v>
      </c>
      <c r="B117" s="591" t="s">
        <v>481</v>
      </c>
      <c r="C117" s="591" t="s">
        <v>482</v>
      </c>
      <c r="D117" s="592">
        <v>1021011</v>
      </c>
      <c r="E117" s="592">
        <v>1</v>
      </c>
      <c r="F117" s="592"/>
      <c r="G117" s="592">
        <v>460</v>
      </c>
      <c r="H117" s="592">
        <v>9.2</v>
      </c>
      <c r="I117" s="592" t="s">
        <v>485</v>
      </c>
      <c r="J117" s="592" t="s">
        <v>418</v>
      </c>
      <c r="K117" s="593" t="b">
        <f>FALSE</f>
        <v>0</v>
      </c>
      <c r="L117" s="594">
        <v>2029</v>
      </c>
      <c r="M117" s="595">
        <v>0.0017</v>
      </c>
      <c r="N117" s="596">
        <v>41361</v>
      </c>
      <c r="O117" s="596">
        <v>41361</v>
      </c>
    </row>
    <row r="118" spans="1:15" ht="12.75">
      <c r="A118" s="590">
        <v>2013</v>
      </c>
      <c r="B118" s="591" t="s">
        <v>481</v>
      </c>
      <c r="C118" s="591" t="s">
        <v>482</v>
      </c>
      <c r="D118" s="592">
        <v>1021011</v>
      </c>
      <c r="E118" s="592">
        <v>1</v>
      </c>
      <c r="F118" s="592"/>
      <c r="G118" s="592">
        <v>630</v>
      </c>
      <c r="H118" s="592">
        <v>11.4</v>
      </c>
      <c r="I118" s="592"/>
      <c r="J118" s="592" t="s">
        <v>434</v>
      </c>
      <c r="K118" s="593" t="b">
        <f>TRUE</f>
        <v>1</v>
      </c>
      <c r="L118" s="594">
        <v>2013</v>
      </c>
      <c r="M118" s="595">
        <v>4472632.58</v>
      </c>
      <c r="N118" s="596">
        <v>41361</v>
      </c>
      <c r="O118" s="596">
        <v>41361</v>
      </c>
    </row>
    <row r="119" spans="1:15" ht="12.75">
      <c r="A119" s="590">
        <v>2013</v>
      </c>
      <c r="B119" s="591" t="s">
        <v>481</v>
      </c>
      <c r="C119" s="591" t="s">
        <v>482</v>
      </c>
      <c r="D119" s="592">
        <v>1021011</v>
      </c>
      <c r="E119" s="592">
        <v>1</v>
      </c>
      <c r="F119" s="592"/>
      <c r="G119" s="592">
        <v>690</v>
      </c>
      <c r="H119" s="592" t="s">
        <v>133</v>
      </c>
      <c r="I119" s="592"/>
      <c r="J119" s="592" t="s">
        <v>439</v>
      </c>
      <c r="K119" s="593" t="b">
        <f>TRUE</f>
        <v>1</v>
      </c>
      <c r="L119" s="594">
        <v>2013</v>
      </c>
      <c r="M119" s="595">
        <v>1503034.46</v>
      </c>
      <c r="N119" s="596">
        <v>41361</v>
      </c>
      <c r="O119" s="596">
        <v>41361</v>
      </c>
    </row>
    <row r="120" spans="1:15" ht="12.75">
      <c r="A120" s="590">
        <v>2013</v>
      </c>
      <c r="B120" s="591" t="s">
        <v>481</v>
      </c>
      <c r="C120" s="591" t="s">
        <v>482</v>
      </c>
      <c r="D120" s="592">
        <v>1021011</v>
      </c>
      <c r="E120" s="592">
        <v>1</v>
      </c>
      <c r="F120" s="592"/>
      <c r="G120" s="592">
        <v>690</v>
      </c>
      <c r="H120" s="592" t="s">
        <v>133</v>
      </c>
      <c r="I120" s="592"/>
      <c r="J120" s="592" t="s">
        <v>439</v>
      </c>
      <c r="K120" s="593" t="b">
        <f>TRUE</f>
        <v>1</v>
      </c>
      <c r="L120" s="594">
        <v>2014</v>
      </c>
      <c r="M120" s="595">
        <v>222594.71</v>
      </c>
      <c r="N120" s="596">
        <v>41361</v>
      </c>
      <c r="O120" s="596">
        <v>41361</v>
      </c>
    </row>
    <row r="121" spans="1:15" ht="12.75">
      <c r="A121" s="590">
        <v>2013</v>
      </c>
      <c r="B121" s="591" t="s">
        <v>481</v>
      </c>
      <c r="C121" s="591" t="s">
        <v>482</v>
      </c>
      <c r="D121" s="592">
        <v>1021011</v>
      </c>
      <c r="E121" s="592">
        <v>1</v>
      </c>
      <c r="F121" s="592"/>
      <c r="G121" s="592">
        <v>30</v>
      </c>
      <c r="H121" s="592" t="s">
        <v>12</v>
      </c>
      <c r="I121" s="592"/>
      <c r="J121" s="592" t="s">
        <v>384</v>
      </c>
      <c r="K121" s="593" t="b">
        <f>TRUE</f>
        <v>1</v>
      </c>
      <c r="L121" s="594">
        <v>2013</v>
      </c>
      <c r="M121" s="595">
        <v>6700000</v>
      </c>
      <c r="N121" s="596">
        <v>41361</v>
      </c>
      <c r="O121" s="596">
        <v>41361</v>
      </c>
    </row>
    <row r="122" spans="1:15" ht="12.75">
      <c r="A122" s="590">
        <v>2013</v>
      </c>
      <c r="B122" s="591" t="s">
        <v>481</v>
      </c>
      <c r="C122" s="591" t="s">
        <v>482</v>
      </c>
      <c r="D122" s="592">
        <v>1021011</v>
      </c>
      <c r="E122" s="592">
        <v>1</v>
      </c>
      <c r="F122" s="592"/>
      <c r="G122" s="592">
        <v>310</v>
      </c>
      <c r="H122" s="592">
        <v>5.1</v>
      </c>
      <c r="I122" s="592"/>
      <c r="J122" s="592" t="s">
        <v>406</v>
      </c>
      <c r="K122" s="593" t="b">
        <f>TRUE</f>
        <v>1</v>
      </c>
      <c r="L122" s="594">
        <v>2013</v>
      </c>
      <c r="M122" s="595">
        <v>2254000</v>
      </c>
      <c r="N122" s="596">
        <v>41361</v>
      </c>
      <c r="O122" s="596">
        <v>41361</v>
      </c>
    </row>
    <row r="123" spans="1:15" ht="12.75">
      <c r="A123" s="590">
        <v>2013</v>
      </c>
      <c r="B123" s="591" t="s">
        <v>481</v>
      </c>
      <c r="C123" s="591" t="s">
        <v>482</v>
      </c>
      <c r="D123" s="592">
        <v>1021011</v>
      </c>
      <c r="E123" s="592">
        <v>1</v>
      </c>
      <c r="F123" s="592"/>
      <c r="G123" s="592">
        <v>310</v>
      </c>
      <c r="H123" s="592">
        <v>5.1</v>
      </c>
      <c r="I123" s="592"/>
      <c r="J123" s="592" t="s">
        <v>406</v>
      </c>
      <c r="K123" s="593" t="b">
        <f>TRUE</f>
        <v>1</v>
      </c>
      <c r="L123" s="594">
        <v>2014</v>
      </c>
      <c r="M123" s="595">
        <v>1300000</v>
      </c>
      <c r="N123" s="596">
        <v>41361</v>
      </c>
      <c r="O123" s="596">
        <v>41361</v>
      </c>
    </row>
    <row r="124" spans="1:15" ht="12.75">
      <c r="A124" s="590">
        <v>2013</v>
      </c>
      <c r="B124" s="591" t="s">
        <v>481</v>
      </c>
      <c r="C124" s="591" t="s">
        <v>482</v>
      </c>
      <c r="D124" s="592">
        <v>1021011</v>
      </c>
      <c r="E124" s="592">
        <v>1</v>
      </c>
      <c r="F124" s="592"/>
      <c r="G124" s="592">
        <v>310</v>
      </c>
      <c r="H124" s="592">
        <v>5.1</v>
      </c>
      <c r="I124" s="592"/>
      <c r="J124" s="592" t="s">
        <v>406</v>
      </c>
      <c r="K124" s="593" t="b">
        <f>TRUE</f>
        <v>1</v>
      </c>
      <c r="L124" s="594">
        <v>2016</v>
      </c>
      <c r="M124" s="595">
        <v>2000000</v>
      </c>
      <c r="N124" s="596">
        <v>41361</v>
      </c>
      <c r="O124" s="596">
        <v>41361</v>
      </c>
    </row>
    <row r="125" spans="1:15" ht="12.75">
      <c r="A125" s="590">
        <v>2013</v>
      </c>
      <c r="B125" s="591" t="s">
        <v>481</v>
      </c>
      <c r="C125" s="591" t="s">
        <v>482</v>
      </c>
      <c r="D125" s="592">
        <v>1021011</v>
      </c>
      <c r="E125" s="592">
        <v>1</v>
      </c>
      <c r="F125" s="592"/>
      <c r="G125" s="592">
        <v>310</v>
      </c>
      <c r="H125" s="592">
        <v>5.1</v>
      </c>
      <c r="I125" s="592"/>
      <c r="J125" s="592" t="s">
        <v>406</v>
      </c>
      <c r="K125" s="593" t="b">
        <f>TRUE</f>
        <v>1</v>
      </c>
      <c r="L125" s="594">
        <v>2017</v>
      </c>
      <c r="M125" s="595">
        <v>2200000</v>
      </c>
      <c r="N125" s="596">
        <v>41361</v>
      </c>
      <c r="O125" s="596">
        <v>41361</v>
      </c>
    </row>
    <row r="126" spans="1:15" ht="12.75">
      <c r="A126" s="590">
        <v>2013</v>
      </c>
      <c r="B126" s="591" t="s">
        <v>481</v>
      </c>
      <c r="C126" s="591" t="s">
        <v>482</v>
      </c>
      <c r="D126" s="592">
        <v>1021011</v>
      </c>
      <c r="E126" s="592">
        <v>1</v>
      </c>
      <c r="F126" s="592"/>
      <c r="G126" s="592">
        <v>310</v>
      </c>
      <c r="H126" s="592">
        <v>5.1</v>
      </c>
      <c r="I126" s="592"/>
      <c r="J126" s="592" t="s">
        <v>406</v>
      </c>
      <c r="K126" s="593" t="b">
        <f>TRUE</f>
        <v>1</v>
      </c>
      <c r="L126" s="594">
        <v>2018</v>
      </c>
      <c r="M126" s="595">
        <v>2100000</v>
      </c>
      <c r="N126" s="596">
        <v>41361</v>
      </c>
      <c r="O126" s="596">
        <v>41361</v>
      </c>
    </row>
    <row r="127" spans="1:15" ht="12.75">
      <c r="A127" s="590">
        <v>2013</v>
      </c>
      <c r="B127" s="591" t="s">
        <v>481</v>
      </c>
      <c r="C127" s="591" t="s">
        <v>482</v>
      </c>
      <c r="D127" s="592">
        <v>1021011</v>
      </c>
      <c r="E127" s="592">
        <v>1</v>
      </c>
      <c r="F127" s="592"/>
      <c r="G127" s="592">
        <v>310</v>
      </c>
      <c r="H127" s="592">
        <v>5.1</v>
      </c>
      <c r="I127" s="592"/>
      <c r="J127" s="592" t="s">
        <v>406</v>
      </c>
      <c r="K127" s="593" t="b">
        <f>TRUE</f>
        <v>1</v>
      </c>
      <c r="L127" s="594">
        <v>2019</v>
      </c>
      <c r="M127" s="595">
        <v>2000000</v>
      </c>
      <c r="N127" s="596">
        <v>41361</v>
      </c>
      <c r="O127" s="596">
        <v>41361</v>
      </c>
    </row>
    <row r="128" spans="1:15" ht="12.75">
      <c r="A128" s="590">
        <v>2013</v>
      </c>
      <c r="B128" s="591" t="s">
        <v>481</v>
      </c>
      <c r="C128" s="591" t="s">
        <v>482</v>
      </c>
      <c r="D128" s="592">
        <v>1021011</v>
      </c>
      <c r="E128" s="592">
        <v>1</v>
      </c>
      <c r="F128" s="592"/>
      <c r="G128" s="592">
        <v>310</v>
      </c>
      <c r="H128" s="592">
        <v>5.1</v>
      </c>
      <c r="I128" s="592"/>
      <c r="J128" s="592" t="s">
        <v>406</v>
      </c>
      <c r="K128" s="593" t="b">
        <f>TRUE</f>
        <v>1</v>
      </c>
      <c r="L128" s="594">
        <v>2020</v>
      </c>
      <c r="M128" s="595">
        <v>2000000</v>
      </c>
      <c r="N128" s="596">
        <v>41361</v>
      </c>
      <c r="O128" s="596">
        <v>41361</v>
      </c>
    </row>
    <row r="129" spans="1:15" ht="12.75">
      <c r="A129" s="590">
        <v>2013</v>
      </c>
      <c r="B129" s="591" t="s">
        <v>481</v>
      </c>
      <c r="C129" s="591" t="s">
        <v>482</v>
      </c>
      <c r="D129" s="592">
        <v>1021011</v>
      </c>
      <c r="E129" s="592">
        <v>1</v>
      </c>
      <c r="F129" s="592"/>
      <c r="G129" s="592">
        <v>310</v>
      </c>
      <c r="H129" s="592">
        <v>5.1</v>
      </c>
      <c r="I129" s="592"/>
      <c r="J129" s="592" t="s">
        <v>406</v>
      </c>
      <c r="K129" s="593" t="b">
        <f>TRUE</f>
        <v>1</v>
      </c>
      <c r="L129" s="594">
        <v>2021</v>
      </c>
      <c r="M129" s="595">
        <v>1000000</v>
      </c>
      <c r="N129" s="596">
        <v>41361</v>
      </c>
      <c r="O129" s="596">
        <v>41361</v>
      </c>
    </row>
    <row r="130" spans="1:15" ht="12.75">
      <c r="A130" s="590">
        <v>2013</v>
      </c>
      <c r="B130" s="591" t="s">
        <v>481</v>
      </c>
      <c r="C130" s="591" t="s">
        <v>482</v>
      </c>
      <c r="D130" s="592">
        <v>1021011</v>
      </c>
      <c r="E130" s="592">
        <v>1</v>
      </c>
      <c r="F130" s="592"/>
      <c r="G130" s="592">
        <v>310</v>
      </c>
      <c r="H130" s="592">
        <v>5.1</v>
      </c>
      <c r="I130" s="592"/>
      <c r="J130" s="592" t="s">
        <v>406</v>
      </c>
      <c r="K130" s="593" t="b">
        <f>TRUE</f>
        <v>1</v>
      </c>
      <c r="L130" s="594">
        <v>2022</v>
      </c>
      <c r="M130" s="595">
        <v>1053368.16</v>
      </c>
      <c r="N130" s="596">
        <v>41361</v>
      </c>
      <c r="O130" s="596">
        <v>41361</v>
      </c>
    </row>
    <row r="131" spans="1:15" ht="12.75">
      <c r="A131" s="590">
        <v>2013</v>
      </c>
      <c r="B131" s="591" t="s">
        <v>481</v>
      </c>
      <c r="C131" s="591" t="s">
        <v>482</v>
      </c>
      <c r="D131" s="592">
        <v>1021011</v>
      </c>
      <c r="E131" s="592">
        <v>1</v>
      </c>
      <c r="F131" s="592"/>
      <c r="G131" s="592">
        <v>240</v>
      </c>
      <c r="H131" s="592">
        <v>4.2</v>
      </c>
      <c r="I131" s="592"/>
      <c r="J131" s="592" t="s">
        <v>402</v>
      </c>
      <c r="K131" s="593" t="b">
        <f>FALSE</f>
        <v>0</v>
      </c>
      <c r="L131" s="594">
        <v>2013</v>
      </c>
      <c r="M131" s="595">
        <v>2607411.22</v>
      </c>
      <c r="N131" s="596">
        <v>41361</v>
      </c>
      <c r="O131" s="596">
        <v>41361</v>
      </c>
    </row>
    <row r="132" spans="1:15" ht="12.75">
      <c r="A132" s="590">
        <v>2013</v>
      </c>
      <c r="B132" s="591" t="s">
        <v>481</v>
      </c>
      <c r="C132" s="591" t="s">
        <v>482</v>
      </c>
      <c r="D132" s="592">
        <v>1021011</v>
      </c>
      <c r="E132" s="592">
        <v>1</v>
      </c>
      <c r="F132" s="592"/>
      <c r="G132" s="592">
        <v>700</v>
      </c>
      <c r="H132" s="592">
        <v>12.2</v>
      </c>
      <c r="I132" s="592"/>
      <c r="J132" s="592" t="s">
        <v>440</v>
      </c>
      <c r="K132" s="593" t="b">
        <f>FALSE</f>
        <v>0</v>
      </c>
      <c r="L132" s="594">
        <v>2013</v>
      </c>
      <c r="M132" s="595">
        <v>529995.71</v>
      </c>
      <c r="N132" s="596">
        <v>41361</v>
      </c>
      <c r="O132" s="596">
        <v>41361</v>
      </c>
    </row>
    <row r="133" spans="1:15" ht="12.75">
      <c r="A133" s="590">
        <v>2013</v>
      </c>
      <c r="B133" s="591" t="s">
        <v>481</v>
      </c>
      <c r="C133" s="591" t="s">
        <v>482</v>
      </c>
      <c r="D133" s="592">
        <v>1021011</v>
      </c>
      <c r="E133" s="592">
        <v>1</v>
      </c>
      <c r="F133" s="592"/>
      <c r="G133" s="592">
        <v>640</v>
      </c>
      <c r="H133" s="592">
        <v>11.5</v>
      </c>
      <c r="I133" s="592"/>
      <c r="J133" s="592" t="s">
        <v>435</v>
      </c>
      <c r="K133" s="593" t="b">
        <f>TRUE</f>
        <v>1</v>
      </c>
      <c r="L133" s="594">
        <v>2013</v>
      </c>
      <c r="M133" s="595">
        <v>2390654.7</v>
      </c>
      <c r="N133" s="596">
        <v>41361</v>
      </c>
      <c r="O133" s="596">
        <v>41361</v>
      </c>
    </row>
    <row r="134" spans="1:15" ht="12.75">
      <c r="A134" s="590">
        <v>2013</v>
      </c>
      <c r="B134" s="591" t="s">
        <v>481</v>
      </c>
      <c r="C134" s="591" t="s">
        <v>482</v>
      </c>
      <c r="D134" s="592">
        <v>1021011</v>
      </c>
      <c r="E134" s="592">
        <v>1</v>
      </c>
      <c r="F134" s="592"/>
      <c r="G134" s="592">
        <v>210</v>
      </c>
      <c r="H134" s="592">
        <v>4</v>
      </c>
      <c r="I134" s="592" t="s">
        <v>486</v>
      </c>
      <c r="J134" s="592" t="s">
        <v>47</v>
      </c>
      <c r="K134" s="593" t="b">
        <f>FALSE</f>
        <v>0</v>
      </c>
      <c r="L134" s="594">
        <v>2013</v>
      </c>
      <c r="M134" s="595">
        <v>4861411.22</v>
      </c>
      <c r="N134" s="596">
        <v>41361</v>
      </c>
      <c r="O134" s="596">
        <v>41361</v>
      </c>
    </row>
    <row r="135" spans="1:15" ht="12.75">
      <c r="A135" s="590">
        <v>2013</v>
      </c>
      <c r="B135" s="591" t="s">
        <v>481</v>
      </c>
      <c r="C135" s="591" t="s">
        <v>482</v>
      </c>
      <c r="D135" s="592">
        <v>1021011</v>
      </c>
      <c r="E135" s="592">
        <v>1</v>
      </c>
      <c r="F135" s="592"/>
      <c r="G135" s="592">
        <v>200</v>
      </c>
      <c r="H135" s="592">
        <v>3</v>
      </c>
      <c r="I135" s="592" t="s">
        <v>487</v>
      </c>
      <c r="J135" s="592" t="s">
        <v>46</v>
      </c>
      <c r="K135" s="593" t="b">
        <f>FALSE</f>
        <v>0</v>
      </c>
      <c r="L135" s="594">
        <v>2013</v>
      </c>
      <c r="M135" s="595">
        <v>-2607411.22</v>
      </c>
      <c r="N135" s="596">
        <v>41361</v>
      </c>
      <c r="O135" s="596">
        <v>41361</v>
      </c>
    </row>
    <row r="136" spans="1:15" ht="12.75">
      <c r="A136" s="590">
        <v>2013</v>
      </c>
      <c r="B136" s="591" t="s">
        <v>481</v>
      </c>
      <c r="C136" s="591" t="s">
        <v>482</v>
      </c>
      <c r="D136" s="592">
        <v>1021011</v>
      </c>
      <c r="E136" s="592">
        <v>1</v>
      </c>
      <c r="F136" s="592"/>
      <c r="G136" s="592">
        <v>200</v>
      </c>
      <c r="H136" s="592">
        <v>3</v>
      </c>
      <c r="I136" s="592" t="s">
        <v>487</v>
      </c>
      <c r="J136" s="592" t="s">
        <v>46</v>
      </c>
      <c r="K136" s="593" t="b">
        <f>FALSE</f>
        <v>0</v>
      </c>
      <c r="L136" s="594">
        <v>2014</v>
      </c>
      <c r="M136" s="595">
        <v>1300000</v>
      </c>
      <c r="N136" s="596">
        <v>41361</v>
      </c>
      <c r="O136" s="596">
        <v>41361</v>
      </c>
    </row>
    <row r="137" spans="1:15" ht="12.75">
      <c r="A137" s="590">
        <v>2013</v>
      </c>
      <c r="B137" s="591" t="s">
        <v>481</v>
      </c>
      <c r="C137" s="591" t="s">
        <v>482</v>
      </c>
      <c r="D137" s="592">
        <v>1021011</v>
      </c>
      <c r="E137" s="592">
        <v>1</v>
      </c>
      <c r="F137" s="592"/>
      <c r="G137" s="592">
        <v>200</v>
      </c>
      <c r="H137" s="592">
        <v>3</v>
      </c>
      <c r="I137" s="592" t="s">
        <v>487</v>
      </c>
      <c r="J137" s="592" t="s">
        <v>46</v>
      </c>
      <c r="K137" s="593" t="b">
        <f>FALSE</f>
        <v>0</v>
      </c>
      <c r="L137" s="594">
        <v>2015</v>
      </c>
      <c r="M137" s="595">
        <v>1850000</v>
      </c>
      <c r="N137" s="596">
        <v>41361</v>
      </c>
      <c r="O137" s="596">
        <v>41361</v>
      </c>
    </row>
    <row r="138" spans="1:15" ht="12.75">
      <c r="A138" s="590">
        <v>2013</v>
      </c>
      <c r="B138" s="591" t="s">
        <v>481</v>
      </c>
      <c r="C138" s="591" t="s">
        <v>482</v>
      </c>
      <c r="D138" s="592">
        <v>1021011</v>
      </c>
      <c r="E138" s="592">
        <v>1</v>
      </c>
      <c r="F138" s="592"/>
      <c r="G138" s="592">
        <v>200</v>
      </c>
      <c r="H138" s="592">
        <v>3</v>
      </c>
      <c r="I138" s="592" t="s">
        <v>487</v>
      </c>
      <c r="J138" s="592" t="s">
        <v>46</v>
      </c>
      <c r="K138" s="593" t="b">
        <f>FALSE</f>
        <v>0</v>
      </c>
      <c r="L138" s="594">
        <v>2016</v>
      </c>
      <c r="M138" s="595">
        <v>2000000</v>
      </c>
      <c r="N138" s="596">
        <v>41361</v>
      </c>
      <c r="O138" s="596">
        <v>41361</v>
      </c>
    </row>
    <row r="139" spans="1:15" ht="12.75">
      <c r="A139" s="590">
        <v>2013</v>
      </c>
      <c r="B139" s="591" t="s">
        <v>481</v>
      </c>
      <c r="C139" s="591" t="s">
        <v>482</v>
      </c>
      <c r="D139" s="592">
        <v>1021011</v>
      </c>
      <c r="E139" s="592">
        <v>1</v>
      </c>
      <c r="F139" s="592"/>
      <c r="G139" s="592">
        <v>200</v>
      </c>
      <c r="H139" s="592">
        <v>3</v>
      </c>
      <c r="I139" s="592" t="s">
        <v>487</v>
      </c>
      <c r="J139" s="592" t="s">
        <v>46</v>
      </c>
      <c r="K139" s="593" t="b">
        <f>FALSE</f>
        <v>0</v>
      </c>
      <c r="L139" s="594">
        <v>2017</v>
      </c>
      <c r="M139" s="595">
        <v>2200000</v>
      </c>
      <c r="N139" s="596">
        <v>41361</v>
      </c>
      <c r="O139" s="596">
        <v>41361</v>
      </c>
    </row>
    <row r="140" spans="1:15" ht="12.75">
      <c r="A140" s="590">
        <v>2013</v>
      </c>
      <c r="B140" s="591" t="s">
        <v>481</v>
      </c>
      <c r="C140" s="591" t="s">
        <v>482</v>
      </c>
      <c r="D140" s="592">
        <v>1021011</v>
      </c>
      <c r="E140" s="592">
        <v>1</v>
      </c>
      <c r="F140" s="592"/>
      <c r="G140" s="592">
        <v>200</v>
      </c>
      <c r="H140" s="592">
        <v>3</v>
      </c>
      <c r="I140" s="592" t="s">
        <v>487</v>
      </c>
      <c r="J140" s="592" t="s">
        <v>46</v>
      </c>
      <c r="K140" s="593" t="b">
        <f>FALSE</f>
        <v>0</v>
      </c>
      <c r="L140" s="594">
        <v>2018</v>
      </c>
      <c r="M140" s="595">
        <v>2100000</v>
      </c>
      <c r="N140" s="596">
        <v>41361</v>
      </c>
      <c r="O140" s="596">
        <v>41361</v>
      </c>
    </row>
    <row r="141" spans="1:15" ht="12.75">
      <c r="A141" s="590">
        <v>2013</v>
      </c>
      <c r="B141" s="591" t="s">
        <v>481</v>
      </c>
      <c r="C141" s="591" t="s">
        <v>482</v>
      </c>
      <c r="D141" s="592">
        <v>1021011</v>
      </c>
      <c r="E141" s="592">
        <v>1</v>
      </c>
      <c r="F141" s="592"/>
      <c r="G141" s="592">
        <v>200</v>
      </c>
      <c r="H141" s="592">
        <v>3</v>
      </c>
      <c r="I141" s="592" t="s">
        <v>487</v>
      </c>
      <c r="J141" s="592" t="s">
        <v>46</v>
      </c>
      <c r="K141" s="593" t="b">
        <f>FALSE</f>
        <v>0</v>
      </c>
      <c r="L141" s="594">
        <v>2019</v>
      </c>
      <c r="M141" s="595">
        <v>2000000</v>
      </c>
      <c r="N141" s="596">
        <v>41361</v>
      </c>
      <c r="O141" s="596">
        <v>41361</v>
      </c>
    </row>
    <row r="142" spans="1:15" ht="12.75">
      <c r="A142" s="590">
        <v>2013</v>
      </c>
      <c r="B142" s="591" t="s">
        <v>481</v>
      </c>
      <c r="C142" s="591" t="s">
        <v>482</v>
      </c>
      <c r="D142" s="592">
        <v>1021011</v>
      </c>
      <c r="E142" s="592">
        <v>1</v>
      </c>
      <c r="F142" s="592"/>
      <c r="G142" s="592">
        <v>200</v>
      </c>
      <c r="H142" s="592">
        <v>3</v>
      </c>
      <c r="I142" s="592" t="s">
        <v>487</v>
      </c>
      <c r="J142" s="592" t="s">
        <v>46</v>
      </c>
      <c r="K142" s="593" t="b">
        <f>FALSE</f>
        <v>0</v>
      </c>
      <c r="L142" s="594">
        <v>2020</v>
      </c>
      <c r="M142" s="595">
        <v>2000000</v>
      </c>
      <c r="N142" s="596">
        <v>41361</v>
      </c>
      <c r="O142" s="596">
        <v>41361</v>
      </c>
    </row>
    <row r="143" spans="1:15" ht="12.75">
      <c r="A143" s="590">
        <v>2013</v>
      </c>
      <c r="B143" s="591" t="s">
        <v>481</v>
      </c>
      <c r="C143" s="591" t="s">
        <v>482</v>
      </c>
      <c r="D143" s="592">
        <v>1021011</v>
      </c>
      <c r="E143" s="592">
        <v>1</v>
      </c>
      <c r="F143" s="592"/>
      <c r="G143" s="592">
        <v>200</v>
      </c>
      <c r="H143" s="592">
        <v>3</v>
      </c>
      <c r="I143" s="592" t="s">
        <v>487</v>
      </c>
      <c r="J143" s="592" t="s">
        <v>46</v>
      </c>
      <c r="K143" s="593" t="b">
        <f>FALSE</f>
        <v>0</v>
      </c>
      <c r="L143" s="594">
        <v>2021</v>
      </c>
      <c r="M143" s="595">
        <v>1000000</v>
      </c>
      <c r="N143" s="596">
        <v>41361</v>
      </c>
      <c r="O143" s="596">
        <v>41361</v>
      </c>
    </row>
    <row r="144" spans="1:15" ht="12.75">
      <c r="A144" s="590">
        <v>2013</v>
      </c>
      <c r="B144" s="591" t="s">
        <v>481</v>
      </c>
      <c r="C144" s="591" t="s">
        <v>482</v>
      </c>
      <c r="D144" s="592">
        <v>1021011</v>
      </c>
      <c r="E144" s="592">
        <v>1</v>
      </c>
      <c r="F144" s="592"/>
      <c r="G144" s="592">
        <v>200</v>
      </c>
      <c r="H144" s="592">
        <v>3</v>
      </c>
      <c r="I144" s="592" t="s">
        <v>487</v>
      </c>
      <c r="J144" s="592" t="s">
        <v>46</v>
      </c>
      <c r="K144" s="593" t="b">
        <f>FALSE</f>
        <v>0</v>
      </c>
      <c r="L144" s="594">
        <v>2022</v>
      </c>
      <c r="M144" s="595">
        <v>1053368.16</v>
      </c>
      <c r="N144" s="596">
        <v>41361</v>
      </c>
      <c r="O144" s="596">
        <v>41361</v>
      </c>
    </row>
    <row r="145" spans="1:15" ht="12.75">
      <c r="A145" s="590">
        <v>2013</v>
      </c>
      <c r="B145" s="591" t="s">
        <v>481</v>
      </c>
      <c r="C145" s="591" t="s">
        <v>482</v>
      </c>
      <c r="D145" s="592">
        <v>1021011</v>
      </c>
      <c r="E145" s="592">
        <v>1</v>
      </c>
      <c r="F145" s="592"/>
      <c r="G145" s="592">
        <v>500</v>
      </c>
      <c r="H145" s="592">
        <v>9.6</v>
      </c>
      <c r="I145" s="592" t="s">
        <v>488</v>
      </c>
      <c r="J145" s="592" t="s">
        <v>421</v>
      </c>
      <c r="K145" s="593" t="b">
        <f>FALSE</f>
        <v>0</v>
      </c>
      <c r="L145" s="594">
        <v>2013</v>
      </c>
      <c r="M145" s="595">
        <v>0.1006</v>
      </c>
      <c r="N145" s="596">
        <v>41361</v>
      </c>
      <c r="O145" s="596">
        <v>41361</v>
      </c>
    </row>
    <row r="146" spans="1:15" ht="12.75">
      <c r="A146" s="590">
        <v>2013</v>
      </c>
      <c r="B146" s="591" t="s">
        <v>481</v>
      </c>
      <c r="C146" s="591" t="s">
        <v>482</v>
      </c>
      <c r="D146" s="592">
        <v>1021011</v>
      </c>
      <c r="E146" s="592">
        <v>1</v>
      </c>
      <c r="F146" s="592"/>
      <c r="G146" s="592">
        <v>500</v>
      </c>
      <c r="H146" s="592">
        <v>9.6</v>
      </c>
      <c r="I146" s="592" t="s">
        <v>488</v>
      </c>
      <c r="J146" s="592" t="s">
        <v>421</v>
      </c>
      <c r="K146" s="593" t="b">
        <f>FALSE</f>
        <v>0</v>
      </c>
      <c r="L146" s="594">
        <v>2014</v>
      </c>
      <c r="M146" s="595">
        <v>0.0703</v>
      </c>
      <c r="N146" s="596">
        <v>41361</v>
      </c>
      <c r="O146" s="596">
        <v>41361</v>
      </c>
    </row>
    <row r="147" spans="1:15" ht="12.75">
      <c r="A147" s="590">
        <v>2013</v>
      </c>
      <c r="B147" s="591" t="s">
        <v>481</v>
      </c>
      <c r="C147" s="591" t="s">
        <v>482</v>
      </c>
      <c r="D147" s="592">
        <v>1021011</v>
      </c>
      <c r="E147" s="592">
        <v>1</v>
      </c>
      <c r="F147" s="592"/>
      <c r="G147" s="592">
        <v>500</v>
      </c>
      <c r="H147" s="592">
        <v>9.6</v>
      </c>
      <c r="I147" s="592" t="s">
        <v>488</v>
      </c>
      <c r="J147" s="592" t="s">
        <v>421</v>
      </c>
      <c r="K147" s="593" t="b">
        <f>FALSE</f>
        <v>0</v>
      </c>
      <c r="L147" s="594">
        <v>2015</v>
      </c>
      <c r="M147" s="595">
        <v>0.0842</v>
      </c>
      <c r="N147" s="596">
        <v>41361</v>
      </c>
      <c r="O147" s="596">
        <v>41361</v>
      </c>
    </row>
    <row r="148" spans="1:15" ht="12.75">
      <c r="A148" s="590">
        <v>2013</v>
      </c>
      <c r="B148" s="591" t="s">
        <v>481</v>
      </c>
      <c r="C148" s="591" t="s">
        <v>482</v>
      </c>
      <c r="D148" s="592">
        <v>1021011</v>
      </c>
      <c r="E148" s="592">
        <v>1</v>
      </c>
      <c r="F148" s="592"/>
      <c r="G148" s="592">
        <v>500</v>
      </c>
      <c r="H148" s="592">
        <v>9.6</v>
      </c>
      <c r="I148" s="592" t="s">
        <v>488</v>
      </c>
      <c r="J148" s="592" t="s">
        <v>421</v>
      </c>
      <c r="K148" s="593" t="b">
        <f>FALSE</f>
        <v>0</v>
      </c>
      <c r="L148" s="594">
        <v>2016</v>
      </c>
      <c r="M148" s="595">
        <v>0.0803</v>
      </c>
      <c r="N148" s="596">
        <v>41361</v>
      </c>
      <c r="O148" s="596">
        <v>41361</v>
      </c>
    </row>
    <row r="149" spans="1:15" ht="12.75">
      <c r="A149" s="590">
        <v>2013</v>
      </c>
      <c r="B149" s="591" t="s">
        <v>481</v>
      </c>
      <c r="C149" s="591" t="s">
        <v>482</v>
      </c>
      <c r="D149" s="592">
        <v>1021011</v>
      </c>
      <c r="E149" s="592">
        <v>1</v>
      </c>
      <c r="F149" s="592"/>
      <c r="G149" s="592">
        <v>500</v>
      </c>
      <c r="H149" s="592">
        <v>9.6</v>
      </c>
      <c r="I149" s="592" t="s">
        <v>488</v>
      </c>
      <c r="J149" s="592" t="s">
        <v>421</v>
      </c>
      <c r="K149" s="593" t="b">
        <f>FALSE</f>
        <v>0</v>
      </c>
      <c r="L149" s="594">
        <v>2017</v>
      </c>
      <c r="M149" s="595">
        <v>0.0813</v>
      </c>
      <c r="N149" s="596">
        <v>41361</v>
      </c>
      <c r="O149" s="596">
        <v>41361</v>
      </c>
    </row>
    <row r="150" spans="1:15" ht="12.75">
      <c r="A150" s="590">
        <v>2013</v>
      </c>
      <c r="B150" s="591" t="s">
        <v>481</v>
      </c>
      <c r="C150" s="591" t="s">
        <v>482</v>
      </c>
      <c r="D150" s="592">
        <v>1021011</v>
      </c>
      <c r="E150" s="592">
        <v>1</v>
      </c>
      <c r="F150" s="592"/>
      <c r="G150" s="592">
        <v>500</v>
      </c>
      <c r="H150" s="592">
        <v>9.6</v>
      </c>
      <c r="I150" s="592" t="s">
        <v>488</v>
      </c>
      <c r="J150" s="592" t="s">
        <v>421</v>
      </c>
      <c r="K150" s="593" t="b">
        <f>FALSE</f>
        <v>0</v>
      </c>
      <c r="L150" s="594">
        <v>2018</v>
      </c>
      <c r="M150" s="595">
        <v>0.0751</v>
      </c>
      <c r="N150" s="596">
        <v>41361</v>
      </c>
      <c r="O150" s="596">
        <v>41361</v>
      </c>
    </row>
    <row r="151" spans="1:15" ht="12.75">
      <c r="A151" s="590">
        <v>2013</v>
      </c>
      <c r="B151" s="591" t="s">
        <v>481</v>
      </c>
      <c r="C151" s="591" t="s">
        <v>482</v>
      </c>
      <c r="D151" s="592">
        <v>1021011</v>
      </c>
      <c r="E151" s="592">
        <v>1</v>
      </c>
      <c r="F151" s="592"/>
      <c r="G151" s="592">
        <v>500</v>
      </c>
      <c r="H151" s="592">
        <v>9.6</v>
      </c>
      <c r="I151" s="592" t="s">
        <v>488</v>
      </c>
      <c r="J151" s="592" t="s">
        <v>421</v>
      </c>
      <c r="K151" s="593" t="b">
        <f>FALSE</f>
        <v>0</v>
      </c>
      <c r="L151" s="594">
        <v>2019</v>
      </c>
      <c r="M151" s="595">
        <v>0.0691</v>
      </c>
      <c r="N151" s="596">
        <v>41361</v>
      </c>
      <c r="O151" s="596">
        <v>41361</v>
      </c>
    </row>
    <row r="152" spans="1:15" ht="12.75">
      <c r="A152" s="590">
        <v>2013</v>
      </c>
      <c r="B152" s="591" t="s">
        <v>481</v>
      </c>
      <c r="C152" s="591" t="s">
        <v>482</v>
      </c>
      <c r="D152" s="592">
        <v>1021011</v>
      </c>
      <c r="E152" s="592">
        <v>1</v>
      </c>
      <c r="F152" s="592"/>
      <c r="G152" s="592">
        <v>500</v>
      </c>
      <c r="H152" s="592">
        <v>9.6</v>
      </c>
      <c r="I152" s="592" t="s">
        <v>488</v>
      </c>
      <c r="J152" s="592" t="s">
        <v>421</v>
      </c>
      <c r="K152" s="593" t="b">
        <f>FALSE</f>
        <v>0</v>
      </c>
      <c r="L152" s="594">
        <v>2020</v>
      </c>
      <c r="M152" s="595">
        <v>0.0672</v>
      </c>
      <c r="N152" s="596">
        <v>41361</v>
      </c>
      <c r="O152" s="596">
        <v>41361</v>
      </c>
    </row>
    <row r="153" spans="1:15" ht="12.75">
      <c r="A153" s="590">
        <v>2013</v>
      </c>
      <c r="B153" s="591" t="s">
        <v>481</v>
      </c>
      <c r="C153" s="591" t="s">
        <v>482</v>
      </c>
      <c r="D153" s="592">
        <v>1021011</v>
      </c>
      <c r="E153" s="592">
        <v>1</v>
      </c>
      <c r="F153" s="592"/>
      <c r="G153" s="592">
        <v>500</v>
      </c>
      <c r="H153" s="592">
        <v>9.6</v>
      </c>
      <c r="I153" s="592" t="s">
        <v>488</v>
      </c>
      <c r="J153" s="592" t="s">
        <v>421</v>
      </c>
      <c r="K153" s="593" t="b">
        <f>FALSE</f>
        <v>0</v>
      </c>
      <c r="L153" s="594">
        <v>2021</v>
      </c>
      <c r="M153" s="595">
        <v>0.0356</v>
      </c>
      <c r="N153" s="596">
        <v>41361</v>
      </c>
      <c r="O153" s="596">
        <v>41361</v>
      </c>
    </row>
    <row r="154" spans="1:15" ht="12.75">
      <c r="A154" s="590">
        <v>2013</v>
      </c>
      <c r="B154" s="591" t="s">
        <v>481</v>
      </c>
      <c r="C154" s="591" t="s">
        <v>482</v>
      </c>
      <c r="D154" s="592">
        <v>1021011</v>
      </c>
      <c r="E154" s="592">
        <v>1</v>
      </c>
      <c r="F154" s="592"/>
      <c r="G154" s="592">
        <v>500</v>
      </c>
      <c r="H154" s="592">
        <v>9.6</v>
      </c>
      <c r="I154" s="592" t="s">
        <v>488</v>
      </c>
      <c r="J154" s="592" t="s">
        <v>421</v>
      </c>
      <c r="K154" s="593" t="b">
        <f>FALSE</f>
        <v>0</v>
      </c>
      <c r="L154" s="594">
        <v>2022</v>
      </c>
      <c r="M154" s="595">
        <v>0.034</v>
      </c>
      <c r="N154" s="596">
        <v>41361</v>
      </c>
      <c r="O154" s="596">
        <v>41361</v>
      </c>
    </row>
    <row r="155" spans="1:15" ht="12.75">
      <c r="A155" s="590">
        <v>2013</v>
      </c>
      <c r="B155" s="591" t="s">
        <v>481</v>
      </c>
      <c r="C155" s="591" t="s">
        <v>482</v>
      </c>
      <c r="D155" s="592">
        <v>1021011</v>
      </c>
      <c r="E155" s="592">
        <v>1</v>
      </c>
      <c r="F155" s="592"/>
      <c r="G155" s="592">
        <v>500</v>
      </c>
      <c r="H155" s="592">
        <v>9.6</v>
      </c>
      <c r="I155" s="592" t="s">
        <v>488</v>
      </c>
      <c r="J155" s="592" t="s">
        <v>421</v>
      </c>
      <c r="K155" s="593" t="b">
        <f>FALSE</f>
        <v>0</v>
      </c>
      <c r="L155" s="594">
        <v>2023</v>
      </c>
      <c r="M155" s="595">
        <v>0.0017</v>
      </c>
      <c r="N155" s="596">
        <v>41361</v>
      </c>
      <c r="O155" s="596">
        <v>41361</v>
      </c>
    </row>
    <row r="156" spans="1:15" ht="12.75">
      <c r="A156" s="590">
        <v>2013</v>
      </c>
      <c r="B156" s="591" t="s">
        <v>481</v>
      </c>
      <c r="C156" s="591" t="s">
        <v>482</v>
      </c>
      <c r="D156" s="592">
        <v>1021011</v>
      </c>
      <c r="E156" s="592">
        <v>1</v>
      </c>
      <c r="F156" s="592"/>
      <c r="G156" s="592">
        <v>500</v>
      </c>
      <c r="H156" s="592">
        <v>9.6</v>
      </c>
      <c r="I156" s="592" t="s">
        <v>488</v>
      </c>
      <c r="J156" s="592" t="s">
        <v>421</v>
      </c>
      <c r="K156" s="593" t="b">
        <f>FALSE</f>
        <v>0</v>
      </c>
      <c r="L156" s="594">
        <v>2024</v>
      </c>
      <c r="M156" s="595">
        <v>0.0017</v>
      </c>
      <c r="N156" s="596">
        <v>41361</v>
      </c>
      <c r="O156" s="596">
        <v>41361</v>
      </c>
    </row>
    <row r="157" spans="1:15" ht="12.75">
      <c r="A157" s="590">
        <v>2013</v>
      </c>
      <c r="B157" s="591" t="s">
        <v>481</v>
      </c>
      <c r="C157" s="591" t="s">
        <v>482</v>
      </c>
      <c r="D157" s="592">
        <v>1021011</v>
      </c>
      <c r="E157" s="592">
        <v>1</v>
      </c>
      <c r="F157" s="592"/>
      <c r="G157" s="592">
        <v>580</v>
      </c>
      <c r="H157" s="592">
        <v>11.1</v>
      </c>
      <c r="I157" s="592"/>
      <c r="J157" s="592" t="s">
        <v>429</v>
      </c>
      <c r="K157" s="593" t="b">
        <f>FALSE</f>
        <v>0</v>
      </c>
      <c r="L157" s="594">
        <v>2014</v>
      </c>
      <c r="M157" s="595">
        <v>12400000</v>
      </c>
      <c r="N157" s="596">
        <v>41361</v>
      </c>
      <c r="O157" s="596">
        <v>41361</v>
      </c>
    </row>
    <row r="158" spans="1:15" ht="12.75">
      <c r="A158" s="590">
        <v>2013</v>
      </c>
      <c r="B158" s="591" t="s">
        <v>481</v>
      </c>
      <c r="C158" s="591" t="s">
        <v>482</v>
      </c>
      <c r="D158" s="592">
        <v>1021011</v>
      </c>
      <c r="E158" s="592">
        <v>1</v>
      </c>
      <c r="F158" s="592"/>
      <c r="G158" s="592">
        <v>500</v>
      </c>
      <c r="H158" s="592">
        <v>9.6</v>
      </c>
      <c r="I158" s="592" t="s">
        <v>488</v>
      </c>
      <c r="J158" s="592" t="s">
        <v>421</v>
      </c>
      <c r="K158" s="593" t="b">
        <f>FALSE</f>
        <v>0</v>
      </c>
      <c r="L158" s="594">
        <v>2025</v>
      </c>
      <c r="M158" s="595">
        <v>0.0016</v>
      </c>
      <c r="N158" s="596">
        <v>41361</v>
      </c>
      <c r="O158" s="596">
        <v>41361</v>
      </c>
    </row>
    <row r="159" spans="1:15" ht="12.75">
      <c r="A159" s="590">
        <v>2013</v>
      </c>
      <c r="B159" s="591" t="s">
        <v>481</v>
      </c>
      <c r="C159" s="591" t="s">
        <v>482</v>
      </c>
      <c r="D159" s="592">
        <v>1021011</v>
      </c>
      <c r="E159" s="592">
        <v>1</v>
      </c>
      <c r="F159" s="592"/>
      <c r="G159" s="592">
        <v>500</v>
      </c>
      <c r="H159" s="592">
        <v>9.6</v>
      </c>
      <c r="I159" s="592" t="s">
        <v>488</v>
      </c>
      <c r="J159" s="592" t="s">
        <v>421</v>
      </c>
      <c r="K159" s="593" t="b">
        <f>FALSE</f>
        <v>0</v>
      </c>
      <c r="L159" s="594">
        <v>2026</v>
      </c>
      <c r="M159" s="595">
        <v>0.0016</v>
      </c>
      <c r="N159" s="596">
        <v>41361</v>
      </c>
      <c r="O159" s="596">
        <v>41361</v>
      </c>
    </row>
    <row r="160" spans="1:15" ht="12.75">
      <c r="A160" s="590">
        <v>2013</v>
      </c>
      <c r="B160" s="591" t="s">
        <v>481</v>
      </c>
      <c r="C160" s="591" t="s">
        <v>482</v>
      </c>
      <c r="D160" s="592">
        <v>1021011</v>
      </c>
      <c r="E160" s="592">
        <v>1</v>
      </c>
      <c r="F160" s="592"/>
      <c r="G160" s="592">
        <v>500</v>
      </c>
      <c r="H160" s="592">
        <v>9.6</v>
      </c>
      <c r="I160" s="592" t="s">
        <v>488</v>
      </c>
      <c r="J160" s="592" t="s">
        <v>421</v>
      </c>
      <c r="K160" s="593" t="b">
        <f>FALSE</f>
        <v>0</v>
      </c>
      <c r="L160" s="594">
        <v>2027</v>
      </c>
      <c r="M160" s="595">
        <v>0.0016</v>
      </c>
      <c r="N160" s="596">
        <v>41361</v>
      </c>
      <c r="O160" s="596">
        <v>41361</v>
      </c>
    </row>
    <row r="161" spans="1:15" ht="12.75">
      <c r="A161" s="590">
        <v>2013</v>
      </c>
      <c r="B161" s="591" t="s">
        <v>481</v>
      </c>
      <c r="C161" s="591" t="s">
        <v>482</v>
      </c>
      <c r="D161" s="592">
        <v>1021011</v>
      </c>
      <c r="E161" s="592">
        <v>1</v>
      </c>
      <c r="F161" s="592"/>
      <c r="G161" s="592">
        <v>500</v>
      </c>
      <c r="H161" s="592">
        <v>9.6</v>
      </c>
      <c r="I161" s="592" t="s">
        <v>488</v>
      </c>
      <c r="J161" s="592" t="s">
        <v>421</v>
      </c>
      <c r="K161" s="593" t="b">
        <f>FALSE</f>
        <v>0</v>
      </c>
      <c r="L161" s="594">
        <v>2028</v>
      </c>
      <c r="M161" s="595">
        <v>0.0016</v>
      </c>
      <c r="N161" s="596">
        <v>41361</v>
      </c>
      <c r="O161" s="596">
        <v>41361</v>
      </c>
    </row>
    <row r="162" spans="1:15" ht="12.75">
      <c r="A162" s="590">
        <v>2013</v>
      </c>
      <c r="B162" s="591" t="s">
        <v>481</v>
      </c>
      <c r="C162" s="591" t="s">
        <v>482</v>
      </c>
      <c r="D162" s="592">
        <v>1021011</v>
      </c>
      <c r="E162" s="592">
        <v>1</v>
      </c>
      <c r="F162" s="592"/>
      <c r="G162" s="592">
        <v>500</v>
      </c>
      <c r="H162" s="592">
        <v>9.6</v>
      </c>
      <c r="I162" s="592" t="s">
        <v>488</v>
      </c>
      <c r="J162" s="592" t="s">
        <v>421</v>
      </c>
      <c r="K162" s="593" t="b">
        <f>FALSE</f>
        <v>0</v>
      </c>
      <c r="L162" s="594">
        <v>2029</v>
      </c>
      <c r="M162" s="595">
        <v>0.0017</v>
      </c>
      <c r="N162" s="596">
        <v>41361</v>
      </c>
      <c r="O162" s="596">
        <v>41361</v>
      </c>
    </row>
    <row r="163" spans="1:15" ht="12.75">
      <c r="A163" s="590">
        <v>2013</v>
      </c>
      <c r="B163" s="591" t="s">
        <v>481</v>
      </c>
      <c r="C163" s="591" t="s">
        <v>482</v>
      </c>
      <c r="D163" s="592">
        <v>1021011</v>
      </c>
      <c r="E163" s="592">
        <v>1</v>
      </c>
      <c r="F163" s="592"/>
      <c r="G163" s="592">
        <v>300</v>
      </c>
      <c r="H163" s="592">
        <v>5</v>
      </c>
      <c r="I163" s="592" t="s">
        <v>489</v>
      </c>
      <c r="J163" s="592" t="s">
        <v>61</v>
      </c>
      <c r="K163" s="593" t="b">
        <f>FALSE</f>
        <v>0</v>
      </c>
      <c r="L163" s="594">
        <v>2013</v>
      </c>
      <c r="M163" s="595">
        <v>2254000</v>
      </c>
      <c r="N163" s="596">
        <v>41361</v>
      </c>
      <c r="O163" s="596">
        <v>41361</v>
      </c>
    </row>
    <row r="164" spans="1:15" ht="12.75">
      <c r="A164" s="590">
        <v>2013</v>
      </c>
      <c r="B164" s="591" t="s">
        <v>481</v>
      </c>
      <c r="C164" s="591" t="s">
        <v>482</v>
      </c>
      <c r="D164" s="592">
        <v>1021011</v>
      </c>
      <c r="E164" s="592">
        <v>1</v>
      </c>
      <c r="F164" s="592"/>
      <c r="G164" s="592">
        <v>300</v>
      </c>
      <c r="H164" s="592">
        <v>5</v>
      </c>
      <c r="I164" s="592" t="s">
        <v>489</v>
      </c>
      <c r="J164" s="592" t="s">
        <v>61</v>
      </c>
      <c r="K164" s="593" t="b">
        <f>FALSE</f>
        <v>0</v>
      </c>
      <c r="L164" s="594">
        <v>2014</v>
      </c>
      <c r="M164" s="595">
        <v>1300000</v>
      </c>
      <c r="N164" s="596">
        <v>41361</v>
      </c>
      <c r="O164" s="596">
        <v>41361</v>
      </c>
    </row>
    <row r="165" spans="1:15" ht="12.75">
      <c r="A165" s="590">
        <v>2013</v>
      </c>
      <c r="B165" s="591" t="s">
        <v>481</v>
      </c>
      <c r="C165" s="591" t="s">
        <v>482</v>
      </c>
      <c r="D165" s="592">
        <v>1021011</v>
      </c>
      <c r="E165" s="592">
        <v>1</v>
      </c>
      <c r="F165" s="592"/>
      <c r="G165" s="592">
        <v>300</v>
      </c>
      <c r="H165" s="592">
        <v>5</v>
      </c>
      <c r="I165" s="592" t="s">
        <v>489</v>
      </c>
      <c r="J165" s="592" t="s">
        <v>61</v>
      </c>
      <c r="K165" s="593" t="b">
        <f>FALSE</f>
        <v>0</v>
      </c>
      <c r="L165" s="594">
        <v>2015</v>
      </c>
      <c r="M165" s="595">
        <v>1850000</v>
      </c>
      <c r="N165" s="596">
        <v>41361</v>
      </c>
      <c r="O165" s="596">
        <v>41361</v>
      </c>
    </row>
    <row r="166" spans="1:15" ht="12.75">
      <c r="A166" s="590">
        <v>2013</v>
      </c>
      <c r="B166" s="591" t="s">
        <v>481</v>
      </c>
      <c r="C166" s="591" t="s">
        <v>482</v>
      </c>
      <c r="D166" s="592">
        <v>1021011</v>
      </c>
      <c r="E166" s="592">
        <v>1</v>
      </c>
      <c r="F166" s="592"/>
      <c r="G166" s="592">
        <v>300</v>
      </c>
      <c r="H166" s="592">
        <v>5</v>
      </c>
      <c r="I166" s="592" t="s">
        <v>489</v>
      </c>
      <c r="J166" s="592" t="s">
        <v>61</v>
      </c>
      <c r="K166" s="593" t="b">
        <f>FALSE</f>
        <v>0</v>
      </c>
      <c r="L166" s="594">
        <v>2016</v>
      </c>
      <c r="M166" s="595">
        <v>2000000</v>
      </c>
      <c r="N166" s="596">
        <v>41361</v>
      </c>
      <c r="O166" s="596">
        <v>41361</v>
      </c>
    </row>
    <row r="167" spans="1:15" ht="12.75">
      <c r="A167" s="590">
        <v>2013</v>
      </c>
      <c r="B167" s="591" t="s">
        <v>481</v>
      </c>
      <c r="C167" s="591" t="s">
        <v>482</v>
      </c>
      <c r="D167" s="592">
        <v>1021011</v>
      </c>
      <c r="E167" s="592">
        <v>1</v>
      </c>
      <c r="F167" s="592"/>
      <c r="G167" s="592">
        <v>300</v>
      </c>
      <c r="H167" s="592">
        <v>5</v>
      </c>
      <c r="I167" s="592" t="s">
        <v>489</v>
      </c>
      <c r="J167" s="592" t="s">
        <v>61</v>
      </c>
      <c r="K167" s="593" t="b">
        <f>FALSE</f>
        <v>0</v>
      </c>
      <c r="L167" s="594">
        <v>2017</v>
      </c>
      <c r="M167" s="595">
        <v>2200000</v>
      </c>
      <c r="N167" s="596">
        <v>41361</v>
      </c>
      <c r="O167" s="596">
        <v>41361</v>
      </c>
    </row>
    <row r="168" spans="1:15" ht="12.75">
      <c r="A168" s="590">
        <v>2013</v>
      </c>
      <c r="B168" s="591" t="s">
        <v>481</v>
      </c>
      <c r="C168" s="591" t="s">
        <v>482</v>
      </c>
      <c r="D168" s="592">
        <v>1021011</v>
      </c>
      <c r="E168" s="592">
        <v>1</v>
      </c>
      <c r="F168" s="592"/>
      <c r="G168" s="592">
        <v>300</v>
      </c>
      <c r="H168" s="592">
        <v>5</v>
      </c>
      <c r="I168" s="592" t="s">
        <v>489</v>
      </c>
      <c r="J168" s="592" t="s">
        <v>61</v>
      </c>
      <c r="K168" s="593" t="b">
        <f>FALSE</f>
        <v>0</v>
      </c>
      <c r="L168" s="594">
        <v>2018</v>
      </c>
      <c r="M168" s="595">
        <v>2100000</v>
      </c>
      <c r="N168" s="596">
        <v>41361</v>
      </c>
      <c r="O168" s="596">
        <v>41361</v>
      </c>
    </row>
    <row r="169" spans="1:15" ht="12.75">
      <c r="A169" s="590">
        <v>2013</v>
      </c>
      <c r="B169" s="591" t="s">
        <v>481</v>
      </c>
      <c r="C169" s="591" t="s">
        <v>482</v>
      </c>
      <c r="D169" s="592">
        <v>1021011</v>
      </c>
      <c r="E169" s="592">
        <v>1</v>
      </c>
      <c r="F169" s="592"/>
      <c r="G169" s="592">
        <v>300</v>
      </c>
      <c r="H169" s="592">
        <v>5</v>
      </c>
      <c r="I169" s="592" t="s">
        <v>489</v>
      </c>
      <c r="J169" s="592" t="s">
        <v>61</v>
      </c>
      <c r="K169" s="593" t="b">
        <f>FALSE</f>
        <v>0</v>
      </c>
      <c r="L169" s="594">
        <v>2019</v>
      </c>
      <c r="M169" s="595">
        <v>2000000</v>
      </c>
      <c r="N169" s="596">
        <v>41361</v>
      </c>
      <c r="O169" s="596">
        <v>41361</v>
      </c>
    </row>
    <row r="170" spans="1:15" ht="12.75">
      <c r="A170" s="590">
        <v>2013</v>
      </c>
      <c r="B170" s="591" t="s">
        <v>481</v>
      </c>
      <c r="C170" s="591" t="s">
        <v>482</v>
      </c>
      <c r="D170" s="592">
        <v>1021011</v>
      </c>
      <c r="E170" s="592">
        <v>1</v>
      </c>
      <c r="F170" s="592"/>
      <c r="G170" s="592">
        <v>300</v>
      </c>
      <c r="H170" s="592">
        <v>5</v>
      </c>
      <c r="I170" s="592" t="s">
        <v>489</v>
      </c>
      <c r="J170" s="592" t="s">
        <v>61</v>
      </c>
      <c r="K170" s="593" t="b">
        <f>FALSE</f>
        <v>0</v>
      </c>
      <c r="L170" s="594">
        <v>2020</v>
      </c>
      <c r="M170" s="595">
        <v>2000000</v>
      </c>
      <c r="N170" s="596">
        <v>41361</v>
      </c>
      <c r="O170" s="596">
        <v>41361</v>
      </c>
    </row>
    <row r="171" spans="1:15" ht="12.75">
      <c r="A171" s="590">
        <v>2013</v>
      </c>
      <c r="B171" s="591" t="s">
        <v>481</v>
      </c>
      <c r="C171" s="591" t="s">
        <v>482</v>
      </c>
      <c r="D171" s="592">
        <v>1021011</v>
      </c>
      <c r="E171" s="592">
        <v>1</v>
      </c>
      <c r="F171" s="592"/>
      <c r="G171" s="592">
        <v>300</v>
      </c>
      <c r="H171" s="592">
        <v>5</v>
      </c>
      <c r="I171" s="592" t="s">
        <v>489</v>
      </c>
      <c r="J171" s="592" t="s">
        <v>61</v>
      </c>
      <c r="K171" s="593" t="b">
        <f>FALSE</f>
        <v>0</v>
      </c>
      <c r="L171" s="594">
        <v>2021</v>
      </c>
      <c r="M171" s="595">
        <v>1000000</v>
      </c>
      <c r="N171" s="596">
        <v>41361</v>
      </c>
      <c r="O171" s="596">
        <v>41361</v>
      </c>
    </row>
    <row r="172" spans="1:15" ht="12.75">
      <c r="A172" s="590">
        <v>2013</v>
      </c>
      <c r="B172" s="591" t="s">
        <v>481</v>
      </c>
      <c r="C172" s="591" t="s">
        <v>482</v>
      </c>
      <c r="D172" s="592">
        <v>1021011</v>
      </c>
      <c r="E172" s="592">
        <v>1</v>
      </c>
      <c r="F172" s="592"/>
      <c r="G172" s="592">
        <v>300</v>
      </c>
      <c r="H172" s="592">
        <v>5</v>
      </c>
      <c r="I172" s="592" t="s">
        <v>489</v>
      </c>
      <c r="J172" s="592" t="s">
        <v>61</v>
      </c>
      <c r="K172" s="593" t="b">
        <f>FALSE</f>
        <v>0</v>
      </c>
      <c r="L172" s="594">
        <v>2022</v>
      </c>
      <c r="M172" s="595">
        <v>1053368.16</v>
      </c>
      <c r="N172" s="596">
        <v>41361</v>
      </c>
      <c r="O172" s="596">
        <v>41361</v>
      </c>
    </row>
    <row r="173" spans="1:15" ht="12.75">
      <c r="A173" s="590">
        <v>2013</v>
      </c>
      <c r="B173" s="591" t="s">
        <v>481</v>
      </c>
      <c r="C173" s="591" t="s">
        <v>482</v>
      </c>
      <c r="D173" s="592">
        <v>1021011</v>
      </c>
      <c r="E173" s="592">
        <v>1</v>
      </c>
      <c r="F173" s="592"/>
      <c r="G173" s="592">
        <v>710</v>
      </c>
      <c r="H173" s="592" t="s">
        <v>137</v>
      </c>
      <c r="I173" s="592"/>
      <c r="J173" s="592" t="s">
        <v>441</v>
      </c>
      <c r="K173" s="593" t="b">
        <f>FALSE</f>
        <v>0</v>
      </c>
      <c r="L173" s="594">
        <v>2013</v>
      </c>
      <c r="M173" s="595">
        <v>529995.71</v>
      </c>
      <c r="N173" s="596">
        <v>41361</v>
      </c>
      <c r="O173" s="596">
        <v>41361</v>
      </c>
    </row>
    <row r="174" spans="1:15" ht="12.75">
      <c r="A174" s="590">
        <v>2013</v>
      </c>
      <c r="B174" s="591" t="s">
        <v>481</v>
      </c>
      <c r="C174" s="591" t="s">
        <v>482</v>
      </c>
      <c r="D174" s="592">
        <v>1021011</v>
      </c>
      <c r="E174" s="592">
        <v>1</v>
      </c>
      <c r="F174" s="592"/>
      <c r="G174" s="592">
        <v>680</v>
      </c>
      <c r="H174" s="592" t="s">
        <v>131</v>
      </c>
      <c r="I174" s="592"/>
      <c r="J174" s="592" t="s">
        <v>438</v>
      </c>
      <c r="K174" s="593" t="b">
        <f>TRUE</f>
        <v>1</v>
      </c>
      <c r="L174" s="594">
        <v>2013</v>
      </c>
      <c r="M174" s="595">
        <v>1503034.46</v>
      </c>
      <c r="N174" s="596">
        <v>41361</v>
      </c>
      <c r="O174" s="596">
        <v>41361</v>
      </c>
    </row>
    <row r="175" spans="1:15" ht="12.75">
      <c r="A175" s="590">
        <v>2013</v>
      </c>
      <c r="B175" s="591" t="s">
        <v>481</v>
      </c>
      <c r="C175" s="591" t="s">
        <v>482</v>
      </c>
      <c r="D175" s="592">
        <v>1021011</v>
      </c>
      <c r="E175" s="592">
        <v>1</v>
      </c>
      <c r="F175" s="592"/>
      <c r="G175" s="592">
        <v>680</v>
      </c>
      <c r="H175" s="592" t="s">
        <v>131</v>
      </c>
      <c r="I175" s="592"/>
      <c r="J175" s="592" t="s">
        <v>438</v>
      </c>
      <c r="K175" s="593" t="b">
        <f>TRUE</f>
        <v>1</v>
      </c>
      <c r="L175" s="594">
        <v>2014</v>
      </c>
      <c r="M175" s="595">
        <v>222594.71</v>
      </c>
      <c r="N175" s="596">
        <v>41361</v>
      </c>
      <c r="O175" s="596">
        <v>41361</v>
      </c>
    </row>
    <row r="176" spans="1:15" ht="12.75">
      <c r="A176" s="590">
        <v>2013</v>
      </c>
      <c r="B176" s="591" t="s">
        <v>481</v>
      </c>
      <c r="C176" s="591" t="s">
        <v>482</v>
      </c>
      <c r="D176" s="592">
        <v>1021011</v>
      </c>
      <c r="E176" s="592">
        <v>1</v>
      </c>
      <c r="F176" s="592"/>
      <c r="G176" s="592">
        <v>720</v>
      </c>
      <c r="H176" s="592" t="s">
        <v>138</v>
      </c>
      <c r="I176" s="592"/>
      <c r="J176" s="592" t="s">
        <v>442</v>
      </c>
      <c r="K176" s="593" t="b">
        <f>FALSE</f>
        <v>0</v>
      </c>
      <c r="L176" s="594">
        <v>2013</v>
      </c>
      <c r="M176" s="595">
        <v>529995.71</v>
      </c>
      <c r="N176" s="596">
        <v>41361</v>
      </c>
      <c r="O176" s="596">
        <v>41361</v>
      </c>
    </row>
    <row r="177" spans="1:15" ht="12.75">
      <c r="A177" s="590">
        <v>2013</v>
      </c>
      <c r="B177" s="591" t="s">
        <v>481</v>
      </c>
      <c r="C177" s="591" t="s">
        <v>482</v>
      </c>
      <c r="D177" s="592">
        <v>1021011</v>
      </c>
      <c r="E177" s="592">
        <v>1</v>
      </c>
      <c r="F177" s="592"/>
      <c r="G177" s="592">
        <v>580</v>
      </c>
      <c r="H177" s="592">
        <v>11.1</v>
      </c>
      <c r="I177" s="592"/>
      <c r="J177" s="592" t="s">
        <v>429</v>
      </c>
      <c r="K177" s="593" t="b">
        <f>FALSE</f>
        <v>0</v>
      </c>
      <c r="L177" s="594">
        <v>2013</v>
      </c>
      <c r="M177" s="595">
        <v>12435739</v>
      </c>
      <c r="N177" s="596">
        <v>41361</v>
      </c>
      <c r="O177" s="596">
        <v>41361</v>
      </c>
    </row>
    <row r="178" spans="1:15" ht="12.75">
      <c r="A178" s="590">
        <v>2013</v>
      </c>
      <c r="B178" s="591" t="s">
        <v>481</v>
      </c>
      <c r="C178" s="591" t="s">
        <v>482</v>
      </c>
      <c r="D178" s="592">
        <v>1021011</v>
      </c>
      <c r="E178" s="592">
        <v>1</v>
      </c>
      <c r="F178" s="592"/>
      <c r="G178" s="592">
        <v>580</v>
      </c>
      <c r="H178" s="592">
        <v>11.1</v>
      </c>
      <c r="I178" s="592"/>
      <c r="J178" s="592" t="s">
        <v>429</v>
      </c>
      <c r="K178" s="593" t="b">
        <f>FALSE</f>
        <v>0</v>
      </c>
      <c r="L178" s="594">
        <v>2015</v>
      </c>
      <c r="M178" s="595">
        <v>12800000</v>
      </c>
      <c r="N178" s="596">
        <v>41361</v>
      </c>
      <c r="O178" s="596">
        <v>41361</v>
      </c>
    </row>
    <row r="179" spans="1:15" ht="12.75">
      <c r="A179" s="590">
        <v>2013</v>
      </c>
      <c r="B179" s="591" t="s">
        <v>481</v>
      </c>
      <c r="C179" s="591" t="s">
        <v>482</v>
      </c>
      <c r="D179" s="592">
        <v>1021011</v>
      </c>
      <c r="E179" s="592">
        <v>1</v>
      </c>
      <c r="F179" s="592"/>
      <c r="G179" s="592">
        <v>580</v>
      </c>
      <c r="H179" s="592">
        <v>11.1</v>
      </c>
      <c r="I179" s="592"/>
      <c r="J179" s="592" t="s">
        <v>429</v>
      </c>
      <c r="K179" s="593" t="b">
        <f>FALSE</f>
        <v>0</v>
      </c>
      <c r="L179" s="594">
        <v>2016</v>
      </c>
      <c r="M179" s="595">
        <v>13000000</v>
      </c>
      <c r="N179" s="596">
        <v>41361</v>
      </c>
      <c r="O179" s="596">
        <v>41361</v>
      </c>
    </row>
    <row r="180" spans="1:15" ht="12.75">
      <c r="A180" s="590">
        <v>2013</v>
      </c>
      <c r="B180" s="591" t="s">
        <v>481</v>
      </c>
      <c r="C180" s="591" t="s">
        <v>482</v>
      </c>
      <c r="D180" s="592">
        <v>1021011</v>
      </c>
      <c r="E180" s="592">
        <v>1</v>
      </c>
      <c r="F180" s="592"/>
      <c r="G180" s="592">
        <v>580</v>
      </c>
      <c r="H180" s="592">
        <v>11.1</v>
      </c>
      <c r="I180" s="592"/>
      <c r="J180" s="592" t="s">
        <v>429</v>
      </c>
      <c r="K180" s="593" t="b">
        <f>FALSE</f>
        <v>0</v>
      </c>
      <c r="L180" s="594">
        <v>2017</v>
      </c>
      <c r="M180" s="595">
        <v>13200000</v>
      </c>
      <c r="N180" s="596">
        <v>41361</v>
      </c>
      <c r="O180" s="596">
        <v>41361</v>
      </c>
    </row>
    <row r="181" spans="1:15" ht="12.75">
      <c r="A181" s="590">
        <v>2013</v>
      </c>
      <c r="B181" s="591" t="s">
        <v>481</v>
      </c>
      <c r="C181" s="591" t="s">
        <v>482</v>
      </c>
      <c r="D181" s="592">
        <v>1021011</v>
      </c>
      <c r="E181" s="592">
        <v>1</v>
      </c>
      <c r="F181" s="592"/>
      <c r="G181" s="592">
        <v>580</v>
      </c>
      <c r="H181" s="592">
        <v>11.1</v>
      </c>
      <c r="I181" s="592"/>
      <c r="J181" s="592" t="s">
        <v>429</v>
      </c>
      <c r="K181" s="593" t="b">
        <f>FALSE</f>
        <v>0</v>
      </c>
      <c r="L181" s="594">
        <v>2018</v>
      </c>
      <c r="M181" s="595">
        <v>13400000</v>
      </c>
      <c r="N181" s="596">
        <v>41361</v>
      </c>
      <c r="O181" s="596">
        <v>41361</v>
      </c>
    </row>
    <row r="182" spans="1:15" ht="12.75">
      <c r="A182" s="590">
        <v>2013</v>
      </c>
      <c r="B182" s="591" t="s">
        <v>481</v>
      </c>
      <c r="C182" s="591" t="s">
        <v>482</v>
      </c>
      <c r="D182" s="592">
        <v>1021011</v>
      </c>
      <c r="E182" s="592">
        <v>1</v>
      </c>
      <c r="F182" s="592"/>
      <c r="G182" s="592">
        <v>580</v>
      </c>
      <c r="H182" s="592">
        <v>11.1</v>
      </c>
      <c r="I182" s="592"/>
      <c r="J182" s="592" t="s">
        <v>429</v>
      </c>
      <c r="K182" s="593" t="b">
        <f>FALSE</f>
        <v>0</v>
      </c>
      <c r="L182" s="594">
        <v>2019</v>
      </c>
      <c r="M182" s="595">
        <v>13600000</v>
      </c>
      <c r="N182" s="596">
        <v>41361</v>
      </c>
      <c r="O182" s="596">
        <v>41361</v>
      </c>
    </row>
    <row r="183" spans="1:15" ht="12.75">
      <c r="A183" s="590">
        <v>2013</v>
      </c>
      <c r="B183" s="591" t="s">
        <v>481</v>
      </c>
      <c r="C183" s="591" t="s">
        <v>482</v>
      </c>
      <c r="D183" s="592">
        <v>1021011</v>
      </c>
      <c r="E183" s="592">
        <v>1</v>
      </c>
      <c r="F183" s="592"/>
      <c r="G183" s="592">
        <v>580</v>
      </c>
      <c r="H183" s="592">
        <v>11.1</v>
      </c>
      <c r="I183" s="592"/>
      <c r="J183" s="592" t="s">
        <v>429</v>
      </c>
      <c r="K183" s="593" t="b">
        <f>FALSE</f>
        <v>0</v>
      </c>
      <c r="L183" s="594">
        <v>2020</v>
      </c>
      <c r="M183" s="595">
        <v>13800000</v>
      </c>
      <c r="N183" s="596">
        <v>41361</v>
      </c>
      <c r="O183" s="596">
        <v>41361</v>
      </c>
    </row>
    <row r="184" spans="1:15" ht="12.75">
      <c r="A184" s="590">
        <v>2013</v>
      </c>
      <c r="B184" s="591" t="s">
        <v>481</v>
      </c>
      <c r="C184" s="591" t="s">
        <v>482</v>
      </c>
      <c r="D184" s="592">
        <v>1021011</v>
      </c>
      <c r="E184" s="592">
        <v>1</v>
      </c>
      <c r="F184" s="592"/>
      <c r="G184" s="592">
        <v>580</v>
      </c>
      <c r="H184" s="592">
        <v>11.1</v>
      </c>
      <c r="I184" s="592"/>
      <c r="J184" s="592" t="s">
        <v>429</v>
      </c>
      <c r="K184" s="593" t="b">
        <f>FALSE</f>
        <v>0</v>
      </c>
      <c r="L184" s="594">
        <v>2021</v>
      </c>
      <c r="M184" s="595">
        <v>14000000</v>
      </c>
      <c r="N184" s="596">
        <v>41361</v>
      </c>
      <c r="O184" s="596">
        <v>41361</v>
      </c>
    </row>
    <row r="185" spans="1:15" ht="12.75">
      <c r="A185" s="590">
        <v>2013</v>
      </c>
      <c r="B185" s="591" t="s">
        <v>481</v>
      </c>
      <c r="C185" s="591" t="s">
        <v>482</v>
      </c>
      <c r="D185" s="592">
        <v>1021011</v>
      </c>
      <c r="E185" s="592">
        <v>1</v>
      </c>
      <c r="F185" s="592"/>
      <c r="G185" s="592">
        <v>580</v>
      </c>
      <c r="H185" s="592">
        <v>11.1</v>
      </c>
      <c r="I185" s="592"/>
      <c r="J185" s="592" t="s">
        <v>429</v>
      </c>
      <c r="K185" s="593" t="b">
        <f>FALSE</f>
        <v>0</v>
      </c>
      <c r="L185" s="594">
        <v>2022</v>
      </c>
      <c r="M185" s="595">
        <v>14251000</v>
      </c>
      <c r="N185" s="596">
        <v>41361</v>
      </c>
      <c r="O185" s="596">
        <v>41361</v>
      </c>
    </row>
    <row r="186" spans="1:15" ht="12.75">
      <c r="A186" s="590">
        <v>2013</v>
      </c>
      <c r="B186" s="591" t="s">
        <v>481</v>
      </c>
      <c r="C186" s="591" t="s">
        <v>482</v>
      </c>
      <c r="D186" s="592">
        <v>1021011</v>
      </c>
      <c r="E186" s="592">
        <v>1</v>
      </c>
      <c r="F186" s="592"/>
      <c r="G186" s="592">
        <v>580</v>
      </c>
      <c r="H186" s="592">
        <v>11.1</v>
      </c>
      <c r="I186" s="592"/>
      <c r="J186" s="592" t="s">
        <v>429</v>
      </c>
      <c r="K186" s="593" t="b">
        <f>FALSE</f>
        <v>0</v>
      </c>
      <c r="L186" s="594">
        <v>2023</v>
      </c>
      <c r="M186" s="595">
        <v>14451000</v>
      </c>
      <c r="N186" s="596">
        <v>41361</v>
      </c>
      <c r="O186" s="596">
        <v>41361</v>
      </c>
    </row>
    <row r="187" spans="1:15" ht="12.75">
      <c r="A187" s="590">
        <v>2013</v>
      </c>
      <c r="B187" s="591" t="s">
        <v>481</v>
      </c>
      <c r="C187" s="591" t="s">
        <v>482</v>
      </c>
      <c r="D187" s="592">
        <v>1021011</v>
      </c>
      <c r="E187" s="592">
        <v>1</v>
      </c>
      <c r="F187" s="592"/>
      <c r="G187" s="592">
        <v>580</v>
      </c>
      <c r="H187" s="592">
        <v>11.1</v>
      </c>
      <c r="I187" s="592"/>
      <c r="J187" s="592" t="s">
        <v>429</v>
      </c>
      <c r="K187" s="593" t="b">
        <f>FALSE</f>
        <v>0</v>
      </c>
      <c r="L187" s="594">
        <v>2024</v>
      </c>
      <c r="M187" s="595">
        <v>14651000</v>
      </c>
      <c r="N187" s="596">
        <v>41361</v>
      </c>
      <c r="O187" s="596">
        <v>41361</v>
      </c>
    </row>
    <row r="188" spans="1:15" ht="12.75">
      <c r="A188" s="590">
        <v>2013</v>
      </c>
      <c r="B188" s="591" t="s">
        <v>481</v>
      </c>
      <c r="C188" s="591" t="s">
        <v>482</v>
      </c>
      <c r="D188" s="592">
        <v>1021011</v>
      </c>
      <c r="E188" s="592">
        <v>1</v>
      </c>
      <c r="F188" s="592"/>
      <c r="G188" s="592">
        <v>580</v>
      </c>
      <c r="H188" s="592">
        <v>11.1</v>
      </c>
      <c r="I188" s="592"/>
      <c r="J188" s="592" t="s">
        <v>429</v>
      </c>
      <c r="K188" s="593" t="b">
        <f>FALSE</f>
        <v>0</v>
      </c>
      <c r="L188" s="594">
        <v>2025</v>
      </c>
      <c r="M188" s="595">
        <v>14851000</v>
      </c>
      <c r="N188" s="596">
        <v>41361</v>
      </c>
      <c r="O188" s="596">
        <v>41361</v>
      </c>
    </row>
    <row r="189" spans="1:15" ht="12.75">
      <c r="A189" s="590">
        <v>2013</v>
      </c>
      <c r="B189" s="591" t="s">
        <v>481</v>
      </c>
      <c r="C189" s="591" t="s">
        <v>482</v>
      </c>
      <c r="D189" s="592">
        <v>1021011</v>
      </c>
      <c r="E189" s="592">
        <v>1</v>
      </c>
      <c r="F189" s="592"/>
      <c r="G189" s="592">
        <v>580</v>
      </c>
      <c r="H189" s="592">
        <v>11.1</v>
      </c>
      <c r="I189" s="592"/>
      <c r="J189" s="592" t="s">
        <v>429</v>
      </c>
      <c r="K189" s="593" t="b">
        <f>FALSE</f>
        <v>0</v>
      </c>
      <c r="L189" s="594">
        <v>2026</v>
      </c>
      <c r="M189" s="595">
        <v>15051000</v>
      </c>
      <c r="N189" s="596">
        <v>41361</v>
      </c>
      <c r="O189" s="596">
        <v>41361</v>
      </c>
    </row>
    <row r="190" spans="1:15" ht="12.75">
      <c r="A190" s="590">
        <v>2013</v>
      </c>
      <c r="B190" s="591" t="s">
        <v>481</v>
      </c>
      <c r="C190" s="591" t="s">
        <v>482</v>
      </c>
      <c r="D190" s="592">
        <v>1021011</v>
      </c>
      <c r="E190" s="592">
        <v>1</v>
      </c>
      <c r="F190" s="592"/>
      <c r="G190" s="592">
        <v>580</v>
      </c>
      <c r="H190" s="592">
        <v>11.1</v>
      </c>
      <c r="I190" s="592"/>
      <c r="J190" s="592" t="s">
        <v>429</v>
      </c>
      <c r="K190" s="593" t="b">
        <f>FALSE</f>
        <v>0</v>
      </c>
      <c r="L190" s="594">
        <v>2027</v>
      </c>
      <c r="M190" s="595">
        <v>15251000</v>
      </c>
      <c r="N190" s="596">
        <v>41361</v>
      </c>
      <c r="O190" s="596">
        <v>41361</v>
      </c>
    </row>
    <row r="191" spans="1:15" ht="12.75">
      <c r="A191" s="590">
        <v>2013</v>
      </c>
      <c r="B191" s="591" t="s">
        <v>481</v>
      </c>
      <c r="C191" s="591" t="s">
        <v>482</v>
      </c>
      <c r="D191" s="592">
        <v>1021011</v>
      </c>
      <c r="E191" s="592">
        <v>1</v>
      </c>
      <c r="F191" s="592"/>
      <c r="G191" s="592">
        <v>580</v>
      </c>
      <c r="H191" s="592">
        <v>11.1</v>
      </c>
      <c r="I191" s="592"/>
      <c r="J191" s="592" t="s">
        <v>429</v>
      </c>
      <c r="K191" s="593" t="b">
        <f>FALSE</f>
        <v>0</v>
      </c>
      <c r="L191" s="594">
        <v>2028</v>
      </c>
      <c r="M191" s="595">
        <v>15451000</v>
      </c>
      <c r="N191" s="596">
        <v>41361</v>
      </c>
      <c r="O191" s="596">
        <v>41361</v>
      </c>
    </row>
    <row r="192" spans="1:15" ht="12.75">
      <c r="A192" s="590">
        <v>2013</v>
      </c>
      <c r="B192" s="591" t="s">
        <v>481</v>
      </c>
      <c r="C192" s="591" t="s">
        <v>482</v>
      </c>
      <c r="D192" s="592">
        <v>1021011</v>
      </c>
      <c r="E192" s="592">
        <v>1</v>
      </c>
      <c r="F192" s="592"/>
      <c r="G192" s="592">
        <v>580</v>
      </c>
      <c r="H192" s="592">
        <v>11.1</v>
      </c>
      <c r="I192" s="592"/>
      <c r="J192" s="592" t="s">
        <v>429</v>
      </c>
      <c r="K192" s="593" t="b">
        <f>FALSE</f>
        <v>0</v>
      </c>
      <c r="L192" s="594">
        <v>2029</v>
      </c>
      <c r="M192" s="595">
        <v>14651000</v>
      </c>
      <c r="N192" s="596">
        <v>41361</v>
      </c>
      <c r="O192" s="596">
        <v>41361</v>
      </c>
    </row>
    <row r="193" spans="1:15" ht="12.75">
      <c r="A193" s="590">
        <v>2013</v>
      </c>
      <c r="B193" s="591" t="s">
        <v>481</v>
      </c>
      <c r="C193" s="591" t="s">
        <v>482</v>
      </c>
      <c r="D193" s="592">
        <v>1021011</v>
      </c>
      <c r="E193" s="592">
        <v>1</v>
      </c>
      <c r="F193" s="592"/>
      <c r="G193" s="592">
        <v>530</v>
      </c>
      <c r="H193" s="592">
        <v>9.8</v>
      </c>
      <c r="I193" s="592" t="s">
        <v>490</v>
      </c>
      <c r="J193" s="592" t="s">
        <v>425</v>
      </c>
      <c r="K193" s="593" t="b">
        <f>FALSE</f>
        <v>0</v>
      </c>
      <c r="L193" s="594">
        <v>2013</v>
      </c>
      <c r="M193" s="595">
        <v>-469</v>
      </c>
      <c r="N193" s="596">
        <v>41361</v>
      </c>
      <c r="O193" s="596">
        <v>41361</v>
      </c>
    </row>
    <row r="194" spans="1:15" ht="12.75">
      <c r="A194" s="590">
        <v>2013</v>
      </c>
      <c r="B194" s="591" t="s">
        <v>481</v>
      </c>
      <c r="C194" s="591" t="s">
        <v>482</v>
      </c>
      <c r="D194" s="592">
        <v>1021011</v>
      </c>
      <c r="E194" s="592">
        <v>1</v>
      </c>
      <c r="F194" s="592"/>
      <c r="G194" s="592">
        <v>530</v>
      </c>
      <c r="H194" s="592">
        <v>9.8</v>
      </c>
      <c r="I194" s="592" t="s">
        <v>490</v>
      </c>
      <c r="J194" s="592" t="s">
        <v>425</v>
      </c>
      <c r="K194" s="593" t="b">
        <f>FALSE</f>
        <v>0</v>
      </c>
      <c r="L194" s="594">
        <v>2014</v>
      </c>
      <c r="M194" s="595">
        <v>10</v>
      </c>
      <c r="N194" s="596">
        <v>41361</v>
      </c>
      <c r="O194" s="596">
        <v>41361</v>
      </c>
    </row>
    <row r="195" spans="1:15" ht="12.75">
      <c r="A195" s="590">
        <v>2013</v>
      </c>
      <c r="B195" s="591" t="s">
        <v>481</v>
      </c>
      <c r="C195" s="591" t="s">
        <v>482</v>
      </c>
      <c r="D195" s="592">
        <v>1021011</v>
      </c>
      <c r="E195" s="592">
        <v>1</v>
      </c>
      <c r="F195" s="592"/>
      <c r="G195" s="592">
        <v>530</v>
      </c>
      <c r="H195" s="592">
        <v>9.8</v>
      </c>
      <c r="I195" s="592" t="s">
        <v>490</v>
      </c>
      <c r="J195" s="592" t="s">
        <v>425</v>
      </c>
      <c r="K195" s="593" t="b">
        <f>FALSE</f>
        <v>0</v>
      </c>
      <c r="L195" s="594">
        <v>2015</v>
      </c>
      <c r="M195" s="595">
        <v>41</v>
      </c>
      <c r="N195" s="596">
        <v>41361</v>
      </c>
      <c r="O195" s="596">
        <v>41361</v>
      </c>
    </row>
    <row r="196" spans="1:15" ht="12.75">
      <c r="A196" s="590">
        <v>2013</v>
      </c>
      <c r="B196" s="591" t="s">
        <v>481</v>
      </c>
      <c r="C196" s="591" t="s">
        <v>482</v>
      </c>
      <c r="D196" s="592">
        <v>1021011</v>
      </c>
      <c r="E196" s="592">
        <v>1</v>
      </c>
      <c r="F196" s="592"/>
      <c r="G196" s="592">
        <v>530</v>
      </c>
      <c r="H196" s="592">
        <v>9.8</v>
      </c>
      <c r="I196" s="592" t="s">
        <v>490</v>
      </c>
      <c r="J196" s="592" t="s">
        <v>425</v>
      </c>
      <c r="K196" s="593" t="b">
        <f>FALSE</f>
        <v>0</v>
      </c>
      <c r="L196" s="594">
        <v>2016</v>
      </c>
      <c r="M196" s="595">
        <v>419</v>
      </c>
      <c r="N196" s="596">
        <v>41361</v>
      </c>
      <c r="O196" s="596">
        <v>41361</v>
      </c>
    </row>
    <row r="197" spans="1:15" ht="12.75">
      <c r="A197" s="590">
        <v>2013</v>
      </c>
      <c r="B197" s="591" t="s">
        <v>481</v>
      </c>
      <c r="C197" s="591" t="s">
        <v>482</v>
      </c>
      <c r="D197" s="592">
        <v>1021011</v>
      </c>
      <c r="E197" s="592">
        <v>1</v>
      </c>
      <c r="F197" s="592"/>
      <c r="G197" s="592">
        <v>420</v>
      </c>
      <c r="H197" s="592">
        <v>8.1</v>
      </c>
      <c r="I197" s="592" t="s">
        <v>491</v>
      </c>
      <c r="J197" s="592" t="s">
        <v>415</v>
      </c>
      <c r="K197" s="593" t="b">
        <f>FALSE</f>
        <v>0</v>
      </c>
      <c r="L197" s="594">
        <v>2014</v>
      </c>
      <c r="M197" s="595">
        <v>3843659.56</v>
      </c>
      <c r="N197" s="596">
        <v>41361</v>
      </c>
      <c r="O197" s="596">
        <v>41361</v>
      </c>
    </row>
    <row r="198" spans="1:15" ht="12.75">
      <c r="A198" s="590">
        <v>2013</v>
      </c>
      <c r="B198" s="591" t="s">
        <v>481</v>
      </c>
      <c r="C198" s="591" t="s">
        <v>482</v>
      </c>
      <c r="D198" s="592">
        <v>1021011</v>
      </c>
      <c r="E198" s="592">
        <v>1</v>
      </c>
      <c r="F198" s="592"/>
      <c r="G198" s="592">
        <v>530</v>
      </c>
      <c r="H198" s="592">
        <v>9.8</v>
      </c>
      <c r="I198" s="592" t="s">
        <v>490</v>
      </c>
      <c r="J198" s="592" t="s">
        <v>425</v>
      </c>
      <c r="K198" s="593" t="b">
        <f>FALSE</f>
        <v>0</v>
      </c>
      <c r="L198" s="594">
        <v>2017</v>
      </c>
      <c r="M198" s="595">
        <v>450</v>
      </c>
      <c r="N198" s="596">
        <v>41361</v>
      </c>
      <c r="O198" s="596">
        <v>41361</v>
      </c>
    </row>
    <row r="199" spans="1:15" ht="12.75">
      <c r="A199" s="590">
        <v>2013</v>
      </c>
      <c r="B199" s="591" t="s">
        <v>481</v>
      </c>
      <c r="C199" s="591" t="s">
        <v>482</v>
      </c>
      <c r="D199" s="592">
        <v>1021011</v>
      </c>
      <c r="E199" s="592">
        <v>1</v>
      </c>
      <c r="F199" s="592"/>
      <c r="G199" s="592">
        <v>530</v>
      </c>
      <c r="H199" s="592">
        <v>9.8</v>
      </c>
      <c r="I199" s="592" t="s">
        <v>490</v>
      </c>
      <c r="J199" s="592" t="s">
        <v>425</v>
      </c>
      <c r="K199" s="593" t="b">
        <f>FALSE</f>
        <v>0</v>
      </c>
      <c r="L199" s="594">
        <v>2018</v>
      </c>
      <c r="M199" s="595">
        <v>533</v>
      </c>
      <c r="N199" s="596">
        <v>41361</v>
      </c>
      <c r="O199" s="596">
        <v>41361</v>
      </c>
    </row>
    <row r="200" spans="1:15" ht="12.75">
      <c r="A200" s="590">
        <v>2013</v>
      </c>
      <c r="B200" s="591" t="s">
        <v>481</v>
      </c>
      <c r="C200" s="591" t="s">
        <v>482</v>
      </c>
      <c r="D200" s="592">
        <v>1021011</v>
      </c>
      <c r="E200" s="592">
        <v>1</v>
      </c>
      <c r="F200" s="592"/>
      <c r="G200" s="592">
        <v>530</v>
      </c>
      <c r="H200" s="592">
        <v>9.8</v>
      </c>
      <c r="I200" s="592" t="s">
        <v>490</v>
      </c>
      <c r="J200" s="592" t="s">
        <v>425</v>
      </c>
      <c r="K200" s="593" t="b">
        <f>FALSE</f>
        <v>0</v>
      </c>
      <c r="L200" s="594">
        <v>2019</v>
      </c>
      <c r="M200" s="595">
        <v>617</v>
      </c>
      <c r="N200" s="596">
        <v>41361</v>
      </c>
      <c r="O200" s="596">
        <v>41361</v>
      </c>
    </row>
    <row r="201" spans="1:15" ht="12.75">
      <c r="A201" s="590">
        <v>2013</v>
      </c>
      <c r="B201" s="591" t="s">
        <v>481</v>
      </c>
      <c r="C201" s="591" t="s">
        <v>482</v>
      </c>
      <c r="D201" s="592">
        <v>1021011</v>
      </c>
      <c r="E201" s="592">
        <v>1</v>
      </c>
      <c r="F201" s="592"/>
      <c r="G201" s="592">
        <v>530</v>
      </c>
      <c r="H201" s="592">
        <v>9.8</v>
      </c>
      <c r="I201" s="592" t="s">
        <v>490</v>
      </c>
      <c r="J201" s="592" t="s">
        <v>425</v>
      </c>
      <c r="K201" s="593" t="b">
        <f>FALSE</f>
        <v>0</v>
      </c>
      <c r="L201" s="594">
        <v>2020</v>
      </c>
      <c r="M201" s="595">
        <v>642</v>
      </c>
      <c r="N201" s="596">
        <v>41361</v>
      </c>
      <c r="O201" s="596">
        <v>41361</v>
      </c>
    </row>
    <row r="202" spans="1:15" ht="12.75">
      <c r="A202" s="590">
        <v>2013</v>
      </c>
      <c r="B202" s="591" t="s">
        <v>481</v>
      </c>
      <c r="C202" s="591" t="s">
        <v>482</v>
      </c>
      <c r="D202" s="592">
        <v>1021011</v>
      </c>
      <c r="E202" s="592">
        <v>1</v>
      </c>
      <c r="F202" s="592"/>
      <c r="G202" s="592">
        <v>530</v>
      </c>
      <c r="H202" s="592">
        <v>9.8</v>
      </c>
      <c r="I202" s="592" t="s">
        <v>490</v>
      </c>
      <c r="J202" s="592" t="s">
        <v>425</v>
      </c>
      <c r="K202" s="593" t="b">
        <f>FALSE</f>
        <v>0</v>
      </c>
      <c r="L202" s="594">
        <v>2021</v>
      </c>
      <c r="M202" s="595">
        <v>953</v>
      </c>
      <c r="N202" s="596">
        <v>41361</v>
      </c>
      <c r="O202" s="596">
        <v>41361</v>
      </c>
    </row>
    <row r="203" spans="1:15" ht="12.75">
      <c r="A203" s="590">
        <v>2013</v>
      </c>
      <c r="B203" s="591" t="s">
        <v>481</v>
      </c>
      <c r="C203" s="591" t="s">
        <v>482</v>
      </c>
      <c r="D203" s="592">
        <v>1021011</v>
      </c>
      <c r="E203" s="592">
        <v>1</v>
      </c>
      <c r="F203" s="592"/>
      <c r="G203" s="592">
        <v>530</v>
      </c>
      <c r="H203" s="592">
        <v>9.8</v>
      </c>
      <c r="I203" s="592" t="s">
        <v>490</v>
      </c>
      <c r="J203" s="592" t="s">
        <v>425</v>
      </c>
      <c r="K203" s="593" t="b">
        <f>FALSE</f>
        <v>0</v>
      </c>
      <c r="L203" s="594">
        <v>2022</v>
      </c>
      <c r="M203" s="595">
        <v>961</v>
      </c>
      <c r="N203" s="596">
        <v>41361</v>
      </c>
      <c r="O203" s="596">
        <v>41361</v>
      </c>
    </row>
    <row r="204" spans="1:15" ht="12.75">
      <c r="A204" s="590">
        <v>2013</v>
      </c>
      <c r="B204" s="591" t="s">
        <v>481</v>
      </c>
      <c r="C204" s="591" t="s">
        <v>482</v>
      </c>
      <c r="D204" s="592">
        <v>1021011</v>
      </c>
      <c r="E204" s="592">
        <v>1</v>
      </c>
      <c r="F204" s="592"/>
      <c r="G204" s="592">
        <v>530</v>
      </c>
      <c r="H204" s="592">
        <v>9.8</v>
      </c>
      <c r="I204" s="592" t="s">
        <v>490</v>
      </c>
      <c r="J204" s="592" t="s">
        <v>425</v>
      </c>
      <c r="K204" s="593" t="b">
        <f>FALSE</f>
        <v>0</v>
      </c>
      <c r="L204" s="594">
        <v>2023</v>
      </c>
      <c r="M204" s="595">
        <v>1276</v>
      </c>
      <c r="N204" s="596">
        <v>41361</v>
      </c>
      <c r="O204" s="596">
        <v>41361</v>
      </c>
    </row>
    <row r="205" spans="1:15" ht="12.75">
      <c r="A205" s="590">
        <v>2013</v>
      </c>
      <c r="B205" s="591" t="s">
        <v>481</v>
      </c>
      <c r="C205" s="591" t="s">
        <v>482</v>
      </c>
      <c r="D205" s="592">
        <v>1021011</v>
      </c>
      <c r="E205" s="592">
        <v>1</v>
      </c>
      <c r="F205" s="592"/>
      <c r="G205" s="592">
        <v>530</v>
      </c>
      <c r="H205" s="592">
        <v>9.8</v>
      </c>
      <c r="I205" s="592" t="s">
        <v>490</v>
      </c>
      <c r="J205" s="592" t="s">
        <v>425</v>
      </c>
      <c r="K205" s="593" t="b">
        <f>FALSE</f>
        <v>0</v>
      </c>
      <c r="L205" s="594">
        <v>2024</v>
      </c>
      <c r="M205" s="595">
        <v>1271</v>
      </c>
      <c r="N205" s="596">
        <v>41361</v>
      </c>
      <c r="O205" s="596">
        <v>41361</v>
      </c>
    </row>
    <row r="206" spans="1:15" ht="12.75">
      <c r="A206" s="590">
        <v>2013</v>
      </c>
      <c r="B206" s="591" t="s">
        <v>481</v>
      </c>
      <c r="C206" s="591" t="s">
        <v>482</v>
      </c>
      <c r="D206" s="592">
        <v>1021011</v>
      </c>
      <c r="E206" s="592">
        <v>1</v>
      </c>
      <c r="F206" s="592"/>
      <c r="G206" s="592">
        <v>530</v>
      </c>
      <c r="H206" s="592">
        <v>9.8</v>
      </c>
      <c r="I206" s="592" t="s">
        <v>490</v>
      </c>
      <c r="J206" s="592" t="s">
        <v>425</v>
      </c>
      <c r="K206" s="593" t="b">
        <f>FALSE</f>
        <v>0</v>
      </c>
      <c r="L206" s="594">
        <v>2025</v>
      </c>
      <c r="M206" s="595">
        <v>1264</v>
      </c>
      <c r="N206" s="596">
        <v>41361</v>
      </c>
      <c r="O206" s="596">
        <v>41361</v>
      </c>
    </row>
    <row r="207" spans="1:15" ht="12.75">
      <c r="A207" s="590">
        <v>2013</v>
      </c>
      <c r="B207" s="591" t="s">
        <v>481</v>
      </c>
      <c r="C207" s="591" t="s">
        <v>482</v>
      </c>
      <c r="D207" s="592">
        <v>1021011</v>
      </c>
      <c r="E207" s="592">
        <v>1</v>
      </c>
      <c r="F207" s="592"/>
      <c r="G207" s="592">
        <v>420</v>
      </c>
      <c r="H207" s="592">
        <v>8.1</v>
      </c>
      <c r="I207" s="592" t="s">
        <v>491</v>
      </c>
      <c r="J207" s="592" t="s">
        <v>415</v>
      </c>
      <c r="K207" s="593" t="b">
        <f>FALSE</f>
        <v>0</v>
      </c>
      <c r="L207" s="594">
        <v>2015</v>
      </c>
      <c r="M207" s="595">
        <v>3850000</v>
      </c>
      <c r="N207" s="596">
        <v>41361</v>
      </c>
      <c r="O207" s="596">
        <v>41361</v>
      </c>
    </row>
    <row r="208" spans="1:15" ht="12.75">
      <c r="A208" s="590">
        <v>2013</v>
      </c>
      <c r="B208" s="591" t="s">
        <v>481</v>
      </c>
      <c r="C208" s="591" t="s">
        <v>482</v>
      </c>
      <c r="D208" s="592">
        <v>1021011</v>
      </c>
      <c r="E208" s="592">
        <v>1</v>
      </c>
      <c r="F208" s="592"/>
      <c r="G208" s="592">
        <v>420</v>
      </c>
      <c r="H208" s="592">
        <v>8.1</v>
      </c>
      <c r="I208" s="592" t="s">
        <v>491</v>
      </c>
      <c r="J208" s="592" t="s">
        <v>415</v>
      </c>
      <c r="K208" s="593" t="b">
        <f>FALSE</f>
        <v>0</v>
      </c>
      <c r="L208" s="594">
        <v>2016</v>
      </c>
      <c r="M208" s="595">
        <v>4080000</v>
      </c>
      <c r="N208" s="596">
        <v>41361</v>
      </c>
      <c r="O208" s="596">
        <v>41361</v>
      </c>
    </row>
    <row r="209" spans="1:15" ht="12.75">
      <c r="A209" s="590">
        <v>2013</v>
      </c>
      <c r="B209" s="591" t="s">
        <v>481</v>
      </c>
      <c r="C209" s="591" t="s">
        <v>482</v>
      </c>
      <c r="D209" s="592">
        <v>1021011</v>
      </c>
      <c r="E209" s="592">
        <v>1</v>
      </c>
      <c r="F209" s="592"/>
      <c r="G209" s="592">
        <v>530</v>
      </c>
      <c r="H209" s="592">
        <v>9.8</v>
      </c>
      <c r="I209" s="592" t="s">
        <v>490</v>
      </c>
      <c r="J209" s="592" t="s">
        <v>425</v>
      </c>
      <c r="K209" s="593" t="b">
        <f>FALSE</f>
        <v>0</v>
      </c>
      <c r="L209" s="594">
        <v>2026</v>
      </c>
      <c r="M209" s="595">
        <v>1252</v>
      </c>
      <c r="N209" s="596">
        <v>41361</v>
      </c>
      <c r="O209" s="596">
        <v>41361</v>
      </c>
    </row>
    <row r="210" spans="1:15" ht="12.75">
      <c r="A210" s="590">
        <v>2013</v>
      </c>
      <c r="B210" s="591" t="s">
        <v>481</v>
      </c>
      <c r="C210" s="591" t="s">
        <v>482</v>
      </c>
      <c r="D210" s="592">
        <v>1021011</v>
      </c>
      <c r="E210" s="592">
        <v>1</v>
      </c>
      <c r="F210" s="592"/>
      <c r="G210" s="592">
        <v>530</v>
      </c>
      <c r="H210" s="592">
        <v>9.8</v>
      </c>
      <c r="I210" s="592" t="s">
        <v>490</v>
      </c>
      <c r="J210" s="592" t="s">
        <v>425</v>
      </c>
      <c r="K210" s="593" t="b">
        <f>FALSE</f>
        <v>0</v>
      </c>
      <c r="L210" s="594">
        <v>2027</v>
      </c>
      <c r="M210" s="595">
        <v>1234</v>
      </c>
      <c r="N210" s="596">
        <v>41361</v>
      </c>
      <c r="O210" s="596">
        <v>41361</v>
      </c>
    </row>
    <row r="211" spans="1:15" ht="12.75">
      <c r="A211" s="590">
        <v>2013</v>
      </c>
      <c r="B211" s="591" t="s">
        <v>481</v>
      </c>
      <c r="C211" s="591" t="s">
        <v>482</v>
      </c>
      <c r="D211" s="592">
        <v>1021011</v>
      </c>
      <c r="E211" s="592">
        <v>1</v>
      </c>
      <c r="F211" s="592"/>
      <c r="G211" s="592">
        <v>530</v>
      </c>
      <c r="H211" s="592">
        <v>9.8</v>
      </c>
      <c r="I211" s="592" t="s">
        <v>490</v>
      </c>
      <c r="J211" s="592" t="s">
        <v>425</v>
      </c>
      <c r="K211" s="593" t="b">
        <f>FALSE</f>
        <v>0</v>
      </c>
      <c r="L211" s="594">
        <v>2028</v>
      </c>
      <c r="M211" s="595">
        <v>1217</v>
      </c>
      <c r="N211" s="596">
        <v>41361</v>
      </c>
      <c r="O211" s="596">
        <v>41361</v>
      </c>
    </row>
    <row r="212" spans="1:15" ht="12.75">
      <c r="A212" s="590">
        <v>2013</v>
      </c>
      <c r="B212" s="591" t="s">
        <v>481</v>
      </c>
      <c r="C212" s="591" t="s">
        <v>482</v>
      </c>
      <c r="D212" s="592">
        <v>1021011</v>
      </c>
      <c r="E212" s="592">
        <v>1</v>
      </c>
      <c r="F212" s="592"/>
      <c r="G212" s="592">
        <v>530</v>
      </c>
      <c r="H212" s="592">
        <v>9.8</v>
      </c>
      <c r="I212" s="592" t="s">
        <v>490</v>
      </c>
      <c r="J212" s="592" t="s">
        <v>425</v>
      </c>
      <c r="K212" s="593" t="b">
        <f>FALSE</f>
        <v>0</v>
      </c>
      <c r="L212" s="594">
        <v>2029</v>
      </c>
      <c r="M212" s="595">
        <v>1199</v>
      </c>
      <c r="N212" s="596">
        <v>41361</v>
      </c>
      <c r="O212" s="596">
        <v>41361</v>
      </c>
    </row>
    <row r="213" spans="1:15" ht="12.75">
      <c r="A213" s="590">
        <v>2013</v>
      </c>
      <c r="B213" s="591" t="s">
        <v>481</v>
      </c>
      <c r="C213" s="591" t="s">
        <v>482</v>
      </c>
      <c r="D213" s="592">
        <v>1021011</v>
      </c>
      <c r="E213" s="592">
        <v>1</v>
      </c>
      <c r="F213" s="592"/>
      <c r="G213" s="592">
        <v>670</v>
      </c>
      <c r="H213" s="592">
        <v>12.1</v>
      </c>
      <c r="I213" s="592"/>
      <c r="J213" s="592" t="s">
        <v>437</v>
      </c>
      <c r="K213" s="593" t="b">
        <f>TRUE</f>
        <v>1</v>
      </c>
      <c r="L213" s="594">
        <v>2013</v>
      </c>
      <c r="M213" s="595">
        <v>1503034.46</v>
      </c>
      <c r="N213" s="596">
        <v>41361</v>
      </c>
      <c r="O213" s="596">
        <v>41361</v>
      </c>
    </row>
    <row r="214" spans="1:15" ht="12.75">
      <c r="A214" s="590">
        <v>2013</v>
      </c>
      <c r="B214" s="591" t="s">
        <v>481</v>
      </c>
      <c r="C214" s="591" t="s">
        <v>482</v>
      </c>
      <c r="D214" s="592">
        <v>1021011</v>
      </c>
      <c r="E214" s="592">
        <v>1</v>
      </c>
      <c r="F214" s="592"/>
      <c r="G214" s="592">
        <v>670</v>
      </c>
      <c r="H214" s="592">
        <v>12.1</v>
      </c>
      <c r="I214" s="592"/>
      <c r="J214" s="592" t="s">
        <v>437</v>
      </c>
      <c r="K214" s="593" t="b">
        <f>TRUE</f>
        <v>1</v>
      </c>
      <c r="L214" s="594">
        <v>2014</v>
      </c>
      <c r="M214" s="595">
        <v>222594.71</v>
      </c>
      <c r="N214" s="596">
        <v>41361</v>
      </c>
      <c r="O214" s="596">
        <v>41361</v>
      </c>
    </row>
    <row r="215" spans="1:15" ht="12.75">
      <c r="A215" s="590">
        <v>2013</v>
      </c>
      <c r="B215" s="591" t="s">
        <v>481</v>
      </c>
      <c r="C215" s="591" t="s">
        <v>482</v>
      </c>
      <c r="D215" s="592">
        <v>1021011</v>
      </c>
      <c r="E215" s="592">
        <v>1</v>
      </c>
      <c r="F215" s="592"/>
      <c r="G215" s="592">
        <v>80</v>
      </c>
      <c r="H215" s="592" t="s">
        <v>22</v>
      </c>
      <c r="I215" s="592"/>
      <c r="J215" s="592" t="s">
        <v>389</v>
      </c>
      <c r="K215" s="593" t="b">
        <f>TRUE</f>
        <v>1</v>
      </c>
      <c r="L215" s="594">
        <v>2013</v>
      </c>
      <c r="M215" s="595">
        <v>5980345.21</v>
      </c>
      <c r="N215" s="596">
        <v>41361</v>
      </c>
      <c r="O215" s="596">
        <v>41361</v>
      </c>
    </row>
    <row r="216" spans="1:15" ht="12.75">
      <c r="A216" s="590">
        <v>2013</v>
      </c>
      <c r="B216" s="591" t="s">
        <v>481</v>
      </c>
      <c r="C216" s="591" t="s">
        <v>482</v>
      </c>
      <c r="D216" s="592">
        <v>1021011</v>
      </c>
      <c r="E216" s="592">
        <v>1</v>
      </c>
      <c r="F216" s="592"/>
      <c r="G216" s="592">
        <v>380</v>
      </c>
      <c r="H216" s="592">
        <v>6.2</v>
      </c>
      <c r="I216" s="592" t="s">
        <v>492</v>
      </c>
      <c r="J216" s="592" t="s">
        <v>412</v>
      </c>
      <c r="K216" s="593" t="b">
        <f>FALSE</f>
        <v>0</v>
      </c>
      <c r="L216" s="594">
        <v>2013</v>
      </c>
      <c r="M216" s="595">
        <v>0.4853</v>
      </c>
      <c r="N216" s="596">
        <v>41361</v>
      </c>
      <c r="O216" s="596">
        <v>41361</v>
      </c>
    </row>
    <row r="217" spans="1:15" ht="12.75">
      <c r="A217" s="590">
        <v>2013</v>
      </c>
      <c r="B217" s="591" t="s">
        <v>481</v>
      </c>
      <c r="C217" s="591" t="s">
        <v>482</v>
      </c>
      <c r="D217" s="592">
        <v>1021011</v>
      </c>
      <c r="E217" s="592">
        <v>1</v>
      </c>
      <c r="F217" s="592"/>
      <c r="G217" s="592">
        <v>380</v>
      </c>
      <c r="H217" s="592">
        <v>6.2</v>
      </c>
      <c r="I217" s="592" t="s">
        <v>492</v>
      </c>
      <c r="J217" s="592" t="s">
        <v>412</v>
      </c>
      <c r="K217" s="593" t="b">
        <f>FALSE</f>
        <v>0</v>
      </c>
      <c r="L217" s="594">
        <v>2014</v>
      </c>
      <c r="M217" s="595">
        <v>0.4623</v>
      </c>
      <c r="N217" s="596">
        <v>41361</v>
      </c>
      <c r="O217" s="596">
        <v>41361</v>
      </c>
    </row>
    <row r="218" spans="1:15" ht="12.75">
      <c r="A218" s="590">
        <v>2013</v>
      </c>
      <c r="B218" s="591" t="s">
        <v>481</v>
      </c>
      <c r="C218" s="591" t="s">
        <v>482</v>
      </c>
      <c r="D218" s="592">
        <v>1021011</v>
      </c>
      <c r="E218" s="592">
        <v>1</v>
      </c>
      <c r="F218" s="592"/>
      <c r="G218" s="592">
        <v>380</v>
      </c>
      <c r="H218" s="592">
        <v>6.2</v>
      </c>
      <c r="I218" s="592" t="s">
        <v>492</v>
      </c>
      <c r="J218" s="592" t="s">
        <v>412</v>
      </c>
      <c r="K218" s="593" t="b">
        <f>FALSE</f>
        <v>0</v>
      </c>
      <c r="L218" s="594">
        <v>2015</v>
      </c>
      <c r="M218" s="595">
        <v>0.3985</v>
      </c>
      <c r="N218" s="596">
        <v>41361</v>
      </c>
      <c r="O218" s="596">
        <v>41361</v>
      </c>
    </row>
    <row r="219" spans="1:15" ht="12.75">
      <c r="A219" s="590">
        <v>2013</v>
      </c>
      <c r="B219" s="591" t="s">
        <v>481</v>
      </c>
      <c r="C219" s="591" t="s">
        <v>482</v>
      </c>
      <c r="D219" s="592">
        <v>1021011</v>
      </c>
      <c r="E219" s="592">
        <v>1</v>
      </c>
      <c r="F219" s="592"/>
      <c r="G219" s="592">
        <v>380</v>
      </c>
      <c r="H219" s="592">
        <v>6.2</v>
      </c>
      <c r="I219" s="592" t="s">
        <v>492</v>
      </c>
      <c r="J219" s="592" t="s">
        <v>412</v>
      </c>
      <c r="K219" s="593" t="b">
        <f>FALSE</f>
        <v>0</v>
      </c>
      <c r="L219" s="594">
        <v>2016</v>
      </c>
      <c r="M219" s="595">
        <v>0.3287</v>
      </c>
      <c r="N219" s="596">
        <v>41361</v>
      </c>
      <c r="O219" s="596">
        <v>41361</v>
      </c>
    </row>
    <row r="220" spans="1:15" ht="12.75">
      <c r="A220" s="590">
        <v>2013</v>
      </c>
      <c r="B220" s="591" t="s">
        <v>481</v>
      </c>
      <c r="C220" s="591" t="s">
        <v>482</v>
      </c>
      <c r="D220" s="592">
        <v>1021011</v>
      </c>
      <c r="E220" s="592">
        <v>1</v>
      </c>
      <c r="F220" s="592"/>
      <c r="G220" s="592">
        <v>380</v>
      </c>
      <c r="H220" s="592">
        <v>6.2</v>
      </c>
      <c r="I220" s="592" t="s">
        <v>492</v>
      </c>
      <c r="J220" s="592" t="s">
        <v>412</v>
      </c>
      <c r="K220" s="593" t="b">
        <f>FALSE</f>
        <v>0</v>
      </c>
      <c r="L220" s="594">
        <v>2017</v>
      </c>
      <c r="M220" s="595">
        <v>0.2548</v>
      </c>
      <c r="N220" s="596">
        <v>41361</v>
      </c>
      <c r="O220" s="596">
        <v>41361</v>
      </c>
    </row>
    <row r="221" spans="1:15" ht="12.75">
      <c r="A221" s="590">
        <v>2013</v>
      </c>
      <c r="B221" s="591" t="s">
        <v>481</v>
      </c>
      <c r="C221" s="591" t="s">
        <v>482</v>
      </c>
      <c r="D221" s="592">
        <v>1021011</v>
      </c>
      <c r="E221" s="592">
        <v>1</v>
      </c>
      <c r="F221" s="592"/>
      <c r="G221" s="592">
        <v>380</v>
      </c>
      <c r="H221" s="592">
        <v>6.2</v>
      </c>
      <c r="I221" s="592" t="s">
        <v>492</v>
      </c>
      <c r="J221" s="592" t="s">
        <v>412</v>
      </c>
      <c r="K221" s="593" t="b">
        <f>FALSE</f>
        <v>0</v>
      </c>
      <c r="L221" s="594">
        <v>2018</v>
      </c>
      <c r="M221" s="595">
        <v>0.1863</v>
      </c>
      <c r="N221" s="596">
        <v>41361</v>
      </c>
      <c r="O221" s="596">
        <v>41361</v>
      </c>
    </row>
    <row r="222" spans="1:15" ht="12.75">
      <c r="A222" s="590">
        <v>2013</v>
      </c>
      <c r="B222" s="591" t="s">
        <v>481</v>
      </c>
      <c r="C222" s="591" t="s">
        <v>482</v>
      </c>
      <c r="D222" s="592">
        <v>1021011</v>
      </c>
      <c r="E222" s="592">
        <v>1</v>
      </c>
      <c r="F222" s="592"/>
      <c r="G222" s="592">
        <v>380</v>
      </c>
      <c r="H222" s="592">
        <v>6.2</v>
      </c>
      <c r="I222" s="592" t="s">
        <v>492</v>
      </c>
      <c r="J222" s="592" t="s">
        <v>412</v>
      </c>
      <c r="K222" s="593" t="b">
        <f>FALSE</f>
        <v>0</v>
      </c>
      <c r="L222" s="594">
        <v>2019</v>
      </c>
      <c r="M222" s="595">
        <v>0.1228</v>
      </c>
      <c r="N222" s="596">
        <v>41361</v>
      </c>
      <c r="O222" s="596">
        <v>41361</v>
      </c>
    </row>
    <row r="223" spans="1:15" ht="12.75">
      <c r="A223" s="590">
        <v>2013</v>
      </c>
      <c r="B223" s="591" t="s">
        <v>481</v>
      </c>
      <c r="C223" s="591" t="s">
        <v>482</v>
      </c>
      <c r="D223" s="592">
        <v>1021011</v>
      </c>
      <c r="E223" s="592">
        <v>1</v>
      </c>
      <c r="F223" s="592"/>
      <c r="G223" s="592">
        <v>380</v>
      </c>
      <c r="H223" s="592">
        <v>6.2</v>
      </c>
      <c r="I223" s="592" t="s">
        <v>492</v>
      </c>
      <c r="J223" s="592" t="s">
        <v>412</v>
      </c>
      <c r="K223" s="593" t="b">
        <f>FALSE</f>
        <v>0</v>
      </c>
      <c r="L223" s="594">
        <v>2020</v>
      </c>
      <c r="M223" s="595">
        <v>0.0613</v>
      </c>
      <c r="N223" s="596">
        <v>41361</v>
      </c>
      <c r="O223" s="596">
        <v>41361</v>
      </c>
    </row>
    <row r="224" spans="1:15" ht="12.75">
      <c r="A224" s="590">
        <v>2013</v>
      </c>
      <c r="B224" s="591" t="s">
        <v>481</v>
      </c>
      <c r="C224" s="591" t="s">
        <v>482</v>
      </c>
      <c r="D224" s="592">
        <v>1021011</v>
      </c>
      <c r="E224" s="592">
        <v>1</v>
      </c>
      <c r="F224" s="592"/>
      <c r="G224" s="592">
        <v>380</v>
      </c>
      <c r="H224" s="592">
        <v>6.2</v>
      </c>
      <c r="I224" s="592" t="s">
        <v>492</v>
      </c>
      <c r="J224" s="592" t="s">
        <v>412</v>
      </c>
      <c r="K224" s="593" t="b">
        <f>FALSE</f>
        <v>0</v>
      </c>
      <c r="L224" s="594">
        <v>2021</v>
      </c>
      <c r="M224" s="595">
        <v>0.031</v>
      </c>
      <c r="N224" s="596">
        <v>41361</v>
      </c>
      <c r="O224" s="596">
        <v>41361</v>
      </c>
    </row>
    <row r="225" spans="1:15" ht="12.75">
      <c r="A225" s="590">
        <v>2013</v>
      </c>
      <c r="B225" s="591" t="s">
        <v>481</v>
      </c>
      <c r="C225" s="591" t="s">
        <v>482</v>
      </c>
      <c r="D225" s="592">
        <v>1021011</v>
      </c>
      <c r="E225" s="592">
        <v>1</v>
      </c>
      <c r="F225" s="592"/>
      <c r="G225" s="592">
        <v>50</v>
      </c>
      <c r="H225" s="592" t="s">
        <v>16</v>
      </c>
      <c r="I225" s="592"/>
      <c r="J225" s="592" t="s">
        <v>386</v>
      </c>
      <c r="K225" s="593" t="b">
        <f>TRUE</f>
        <v>1</v>
      </c>
      <c r="L225" s="594">
        <v>2013</v>
      </c>
      <c r="M225" s="595">
        <v>6167743.3</v>
      </c>
      <c r="N225" s="596">
        <v>41361</v>
      </c>
      <c r="O225" s="596">
        <v>41361</v>
      </c>
    </row>
    <row r="226" spans="1:15" ht="12.75">
      <c r="A226" s="590">
        <v>2013</v>
      </c>
      <c r="B226" s="591" t="s">
        <v>481</v>
      </c>
      <c r="C226" s="591" t="s">
        <v>482</v>
      </c>
      <c r="D226" s="592">
        <v>1021011</v>
      </c>
      <c r="E226" s="592">
        <v>1</v>
      </c>
      <c r="F226" s="592"/>
      <c r="G226" s="592">
        <v>170</v>
      </c>
      <c r="H226" s="592" t="s">
        <v>40</v>
      </c>
      <c r="I226" s="592"/>
      <c r="J226" s="592" t="s">
        <v>397</v>
      </c>
      <c r="K226" s="593" t="b">
        <f>TRUE</f>
        <v>1</v>
      </c>
      <c r="L226" s="594">
        <v>2013</v>
      </c>
      <c r="M226" s="595">
        <v>850000</v>
      </c>
      <c r="N226" s="596">
        <v>41361</v>
      </c>
      <c r="O226" s="596">
        <v>41361</v>
      </c>
    </row>
    <row r="227" spans="1:15" ht="12.75">
      <c r="A227" s="590">
        <v>2013</v>
      </c>
      <c r="B227" s="591" t="s">
        <v>481</v>
      </c>
      <c r="C227" s="591" t="s">
        <v>482</v>
      </c>
      <c r="D227" s="592">
        <v>1021011</v>
      </c>
      <c r="E227" s="592">
        <v>1</v>
      </c>
      <c r="F227" s="592"/>
      <c r="G227" s="592">
        <v>170</v>
      </c>
      <c r="H227" s="592" t="s">
        <v>40</v>
      </c>
      <c r="I227" s="592"/>
      <c r="J227" s="592" t="s">
        <v>397</v>
      </c>
      <c r="K227" s="593" t="b">
        <f>TRUE</f>
        <v>1</v>
      </c>
      <c r="L227" s="594">
        <v>2014</v>
      </c>
      <c r="M227" s="595">
        <v>750000</v>
      </c>
      <c r="N227" s="596">
        <v>41361</v>
      </c>
      <c r="O227" s="596">
        <v>41361</v>
      </c>
    </row>
    <row r="228" spans="1:15" ht="12.75">
      <c r="A228" s="590">
        <v>2013</v>
      </c>
      <c r="B228" s="591" t="s">
        <v>481</v>
      </c>
      <c r="C228" s="591" t="s">
        <v>482</v>
      </c>
      <c r="D228" s="592">
        <v>1021011</v>
      </c>
      <c r="E228" s="592">
        <v>1</v>
      </c>
      <c r="F228" s="592"/>
      <c r="G228" s="592">
        <v>170</v>
      </c>
      <c r="H228" s="592" t="s">
        <v>40</v>
      </c>
      <c r="I228" s="592"/>
      <c r="J228" s="592" t="s">
        <v>397</v>
      </c>
      <c r="K228" s="593" t="b">
        <f>TRUE</f>
        <v>1</v>
      </c>
      <c r="L228" s="594">
        <v>2015</v>
      </c>
      <c r="M228" s="595">
        <v>650000</v>
      </c>
      <c r="N228" s="596">
        <v>41361</v>
      </c>
      <c r="O228" s="596">
        <v>41361</v>
      </c>
    </row>
    <row r="229" spans="1:15" ht="12.75">
      <c r="A229" s="590">
        <v>2013</v>
      </c>
      <c r="B229" s="591" t="s">
        <v>481</v>
      </c>
      <c r="C229" s="591" t="s">
        <v>482</v>
      </c>
      <c r="D229" s="592">
        <v>1021011</v>
      </c>
      <c r="E229" s="592">
        <v>1</v>
      </c>
      <c r="F229" s="592"/>
      <c r="G229" s="592">
        <v>170</v>
      </c>
      <c r="H229" s="592" t="s">
        <v>40</v>
      </c>
      <c r="I229" s="592"/>
      <c r="J229" s="592" t="s">
        <v>397</v>
      </c>
      <c r="K229" s="593" t="b">
        <f>TRUE</f>
        <v>1</v>
      </c>
      <c r="L229" s="594">
        <v>2016</v>
      </c>
      <c r="M229" s="595">
        <v>420000</v>
      </c>
      <c r="N229" s="596">
        <v>41361</v>
      </c>
      <c r="O229" s="596">
        <v>41361</v>
      </c>
    </row>
    <row r="230" spans="1:15" ht="12.75">
      <c r="A230" s="590">
        <v>2013</v>
      </c>
      <c r="B230" s="591" t="s">
        <v>481</v>
      </c>
      <c r="C230" s="591" t="s">
        <v>482</v>
      </c>
      <c r="D230" s="592">
        <v>1021011</v>
      </c>
      <c r="E230" s="592">
        <v>1</v>
      </c>
      <c r="F230" s="592"/>
      <c r="G230" s="592">
        <v>170</v>
      </c>
      <c r="H230" s="592" t="s">
        <v>40</v>
      </c>
      <c r="I230" s="592"/>
      <c r="J230" s="592" t="s">
        <v>397</v>
      </c>
      <c r="K230" s="593" t="b">
        <f>TRUE</f>
        <v>1</v>
      </c>
      <c r="L230" s="594">
        <v>2017</v>
      </c>
      <c r="M230" s="595">
        <v>290000</v>
      </c>
      <c r="N230" s="596">
        <v>41361</v>
      </c>
      <c r="O230" s="596">
        <v>41361</v>
      </c>
    </row>
    <row r="231" spans="1:15" ht="12.75">
      <c r="A231" s="590">
        <v>2013</v>
      </c>
      <c r="B231" s="591" t="s">
        <v>481</v>
      </c>
      <c r="C231" s="591" t="s">
        <v>482</v>
      </c>
      <c r="D231" s="592">
        <v>1021011</v>
      </c>
      <c r="E231" s="592">
        <v>1</v>
      </c>
      <c r="F231" s="592"/>
      <c r="G231" s="592">
        <v>170</v>
      </c>
      <c r="H231" s="592" t="s">
        <v>40</v>
      </c>
      <c r="I231" s="592"/>
      <c r="J231" s="592" t="s">
        <v>397</v>
      </c>
      <c r="K231" s="593" t="b">
        <f>TRUE</f>
        <v>1</v>
      </c>
      <c r="L231" s="594">
        <v>2018</v>
      </c>
      <c r="M231" s="595">
        <v>230000</v>
      </c>
      <c r="N231" s="596">
        <v>41361</v>
      </c>
      <c r="O231" s="596">
        <v>41361</v>
      </c>
    </row>
    <row r="232" spans="1:15" ht="12.75">
      <c r="A232" s="590">
        <v>2013</v>
      </c>
      <c r="B232" s="591" t="s">
        <v>481</v>
      </c>
      <c r="C232" s="591" t="s">
        <v>482</v>
      </c>
      <c r="D232" s="592">
        <v>1021011</v>
      </c>
      <c r="E232" s="592">
        <v>1</v>
      </c>
      <c r="F232" s="592"/>
      <c r="G232" s="592">
        <v>170</v>
      </c>
      <c r="H232" s="592" t="s">
        <v>40</v>
      </c>
      <c r="I232" s="592"/>
      <c r="J232" s="592" t="s">
        <v>397</v>
      </c>
      <c r="K232" s="593" t="b">
        <f>TRUE</f>
        <v>1</v>
      </c>
      <c r="L232" s="594">
        <v>2019</v>
      </c>
      <c r="M232" s="595">
        <v>170000</v>
      </c>
      <c r="N232" s="596">
        <v>41361</v>
      </c>
      <c r="O232" s="596">
        <v>41361</v>
      </c>
    </row>
    <row r="233" spans="1:15" ht="12.75">
      <c r="A233" s="590">
        <v>2013</v>
      </c>
      <c r="B233" s="591" t="s">
        <v>481</v>
      </c>
      <c r="C233" s="591" t="s">
        <v>482</v>
      </c>
      <c r="D233" s="592">
        <v>1021011</v>
      </c>
      <c r="E233" s="592">
        <v>1</v>
      </c>
      <c r="F233" s="592"/>
      <c r="G233" s="592">
        <v>170</v>
      </c>
      <c r="H233" s="592" t="s">
        <v>40</v>
      </c>
      <c r="I233" s="592"/>
      <c r="J233" s="592" t="s">
        <v>397</v>
      </c>
      <c r="K233" s="593" t="b">
        <f>TRUE</f>
        <v>1</v>
      </c>
      <c r="L233" s="594">
        <v>2020</v>
      </c>
      <c r="M233" s="595">
        <v>140000</v>
      </c>
      <c r="N233" s="596">
        <v>41361</v>
      </c>
      <c r="O233" s="596">
        <v>41361</v>
      </c>
    </row>
    <row r="234" spans="1:15" ht="12.75">
      <c r="A234" s="590">
        <v>2013</v>
      </c>
      <c r="B234" s="591" t="s">
        <v>481</v>
      </c>
      <c r="C234" s="591" t="s">
        <v>482</v>
      </c>
      <c r="D234" s="592">
        <v>1021011</v>
      </c>
      <c r="E234" s="592">
        <v>1</v>
      </c>
      <c r="F234" s="592"/>
      <c r="G234" s="592">
        <v>170</v>
      </c>
      <c r="H234" s="592" t="s">
        <v>40</v>
      </c>
      <c r="I234" s="592"/>
      <c r="J234" s="592" t="s">
        <v>397</v>
      </c>
      <c r="K234" s="593" t="b">
        <f>TRUE</f>
        <v>1</v>
      </c>
      <c r="L234" s="594">
        <v>2021</v>
      </c>
      <c r="M234" s="595">
        <v>110000</v>
      </c>
      <c r="N234" s="596">
        <v>41361</v>
      </c>
      <c r="O234" s="596">
        <v>41361</v>
      </c>
    </row>
    <row r="235" spans="1:15" ht="12.75">
      <c r="A235" s="590">
        <v>2013</v>
      </c>
      <c r="B235" s="591" t="s">
        <v>481</v>
      </c>
      <c r="C235" s="591" t="s">
        <v>482</v>
      </c>
      <c r="D235" s="592">
        <v>1021011</v>
      </c>
      <c r="E235" s="592">
        <v>1</v>
      </c>
      <c r="F235" s="592"/>
      <c r="G235" s="592">
        <v>170</v>
      </c>
      <c r="H235" s="592" t="s">
        <v>40</v>
      </c>
      <c r="I235" s="592"/>
      <c r="J235" s="592" t="s">
        <v>397</v>
      </c>
      <c r="K235" s="593" t="b">
        <f>TRUE</f>
        <v>1</v>
      </c>
      <c r="L235" s="594">
        <v>2022</v>
      </c>
      <c r="M235" s="595">
        <v>60000</v>
      </c>
      <c r="N235" s="596">
        <v>41361</v>
      </c>
      <c r="O235" s="596">
        <v>41361</v>
      </c>
    </row>
    <row r="236" spans="1:15" ht="12.75">
      <c r="A236" s="590">
        <v>2013</v>
      </c>
      <c r="B236" s="591" t="s">
        <v>481</v>
      </c>
      <c r="C236" s="591" t="s">
        <v>482</v>
      </c>
      <c r="D236" s="592">
        <v>1021011</v>
      </c>
      <c r="E236" s="592">
        <v>1</v>
      </c>
      <c r="F236" s="592"/>
      <c r="G236" s="592">
        <v>110</v>
      </c>
      <c r="H236" s="592" t="s">
        <v>28</v>
      </c>
      <c r="I236" s="592"/>
      <c r="J236" s="592" t="s">
        <v>392</v>
      </c>
      <c r="K236" s="593" t="b">
        <f>TRUE</f>
        <v>1</v>
      </c>
      <c r="L236" s="594">
        <v>2013</v>
      </c>
      <c r="M236" s="595">
        <v>779995.71</v>
      </c>
      <c r="N236" s="596">
        <v>41361</v>
      </c>
      <c r="O236" s="596">
        <v>41361</v>
      </c>
    </row>
    <row r="237" spans="1:15" ht="12.75">
      <c r="A237" s="590">
        <v>2013</v>
      </c>
      <c r="B237" s="591" t="s">
        <v>481</v>
      </c>
      <c r="C237" s="591" t="s">
        <v>482</v>
      </c>
      <c r="D237" s="592">
        <v>1021011</v>
      </c>
      <c r="E237" s="592">
        <v>1</v>
      </c>
      <c r="F237" s="592"/>
      <c r="G237" s="592">
        <v>100</v>
      </c>
      <c r="H237" s="592" t="s">
        <v>26</v>
      </c>
      <c r="I237" s="592"/>
      <c r="J237" s="592" t="s">
        <v>391</v>
      </c>
      <c r="K237" s="593" t="b">
        <f>TRUE</f>
        <v>1</v>
      </c>
      <c r="L237" s="594">
        <v>2013</v>
      </c>
      <c r="M237" s="595">
        <v>125000</v>
      </c>
      <c r="N237" s="596">
        <v>41361</v>
      </c>
      <c r="O237" s="596">
        <v>41361</v>
      </c>
    </row>
    <row r="238" spans="1:15" ht="12.75">
      <c r="A238" s="590">
        <v>2013</v>
      </c>
      <c r="B238" s="591" t="s">
        <v>481</v>
      </c>
      <c r="C238" s="591" t="s">
        <v>482</v>
      </c>
      <c r="D238" s="592">
        <v>1021011</v>
      </c>
      <c r="E238" s="592">
        <v>1</v>
      </c>
      <c r="F238" s="592"/>
      <c r="G238" s="592">
        <v>130</v>
      </c>
      <c r="H238" s="592">
        <v>2.1</v>
      </c>
      <c r="I238" s="592"/>
      <c r="J238" s="592" t="s">
        <v>393</v>
      </c>
      <c r="K238" s="593" t="b">
        <f>TRUE</f>
        <v>1</v>
      </c>
      <c r="L238" s="594">
        <v>2013</v>
      </c>
      <c r="M238" s="595">
        <v>27407575.16</v>
      </c>
      <c r="N238" s="596">
        <v>41361</v>
      </c>
      <c r="O238" s="596">
        <v>41361</v>
      </c>
    </row>
    <row r="239" spans="1:15" ht="12.75">
      <c r="A239" s="590">
        <v>2013</v>
      </c>
      <c r="B239" s="591" t="s">
        <v>481</v>
      </c>
      <c r="C239" s="591" t="s">
        <v>482</v>
      </c>
      <c r="D239" s="592">
        <v>1021011</v>
      </c>
      <c r="E239" s="592">
        <v>1</v>
      </c>
      <c r="F239" s="592"/>
      <c r="G239" s="592">
        <v>130</v>
      </c>
      <c r="H239" s="592">
        <v>2.1</v>
      </c>
      <c r="I239" s="592"/>
      <c r="J239" s="592" t="s">
        <v>393</v>
      </c>
      <c r="K239" s="593" t="b">
        <f>TRUE</f>
        <v>1</v>
      </c>
      <c r="L239" s="594">
        <v>2014</v>
      </c>
      <c r="M239" s="595">
        <v>26878935.15</v>
      </c>
      <c r="N239" s="596">
        <v>41361</v>
      </c>
      <c r="O239" s="596">
        <v>41361</v>
      </c>
    </row>
    <row r="240" spans="1:15" ht="12.75">
      <c r="A240" s="590">
        <v>2013</v>
      </c>
      <c r="B240" s="591" t="s">
        <v>481</v>
      </c>
      <c r="C240" s="591" t="s">
        <v>482</v>
      </c>
      <c r="D240" s="592">
        <v>1021011</v>
      </c>
      <c r="E240" s="592">
        <v>1</v>
      </c>
      <c r="F240" s="592"/>
      <c r="G240" s="592">
        <v>130</v>
      </c>
      <c r="H240" s="592">
        <v>2.1</v>
      </c>
      <c r="I240" s="592"/>
      <c r="J240" s="592" t="s">
        <v>393</v>
      </c>
      <c r="K240" s="593" t="b">
        <f>TRUE</f>
        <v>1</v>
      </c>
      <c r="L240" s="594">
        <v>2015</v>
      </c>
      <c r="M240" s="595">
        <v>27150000</v>
      </c>
      <c r="N240" s="596">
        <v>41361</v>
      </c>
      <c r="O240" s="596">
        <v>41361</v>
      </c>
    </row>
    <row r="241" spans="1:15" ht="12.75">
      <c r="A241" s="590">
        <v>2013</v>
      </c>
      <c r="B241" s="591" t="s">
        <v>481</v>
      </c>
      <c r="C241" s="591" t="s">
        <v>482</v>
      </c>
      <c r="D241" s="592">
        <v>1021011</v>
      </c>
      <c r="E241" s="592">
        <v>1</v>
      </c>
      <c r="F241" s="592"/>
      <c r="G241" s="592">
        <v>130</v>
      </c>
      <c r="H241" s="592">
        <v>2.1</v>
      </c>
      <c r="I241" s="592"/>
      <c r="J241" s="592" t="s">
        <v>393</v>
      </c>
      <c r="K241" s="593" t="b">
        <f>TRUE</f>
        <v>1</v>
      </c>
      <c r="L241" s="594">
        <v>2016</v>
      </c>
      <c r="M241" s="595">
        <v>27420000</v>
      </c>
      <c r="N241" s="596">
        <v>41361</v>
      </c>
      <c r="O241" s="596">
        <v>41361</v>
      </c>
    </row>
    <row r="242" spans="1:15" ht="12.75">
      <c r="A242" s="590">
        <v>2013</v>
      </c>
      <c r="B242" s="591" t="s">
        <v>481</v>
      </c>
      <c r="C242" s="591" t="s">
        <v>482</v>
      </c>
      <c r="D242" s="592">
        <v>1021011</v>
      </c>
      <c r="E242" s="592">
        <v>1</v>
      </c>
      <c r="F242" s="592"/>
      <c r="G242" s="592">
        <v>130</v>
      </c>
      <c r="H242" s="592">
        <v>2.1</v>
      </c>
      <c r="I242" s="592"/>
      <c r="J242" s="592" t="s">
        <v>393</v>
      </c>
      <c r="K242" s="593" t="b">
        <f>TRUE</f>
        <v>1</v>
      </c>
      <c r="L242" s="594">
        <v>2017</v>
      </c>
      <c r="M242" s="595">
        <v>27790000</v>
      </c>
      <c r="N242" s="596">
        <v>41361</v>
      </c>
      <c r="O242" s="596">
        <v>41361</v>
      </c>
    </row>
    <row r="243" spans="1:15" ht="12.75">
      <c r="A243" s="590">
        <v>2013</v>
      </c>
      <c r="B243" s="591" t="s">
        <v>481</v>
      </c>
      <c r="C243" s="591" t="s">
        <v>482</v>
      </c>
      <c r="D243" s="592">
        <v>1021011</v>
      </c>
      <c r="E243" s="592">
        <v>1</v>
      </c>
      <c r="F243" s="592"/>
      <c r="G243" s="592">
        <v>130</v>
      </c>
      <c r="H243" s="592">
        <v>2.1</v>
      </c>
      <c r="I243" s="592"/>
      <c r="J243" s="592" t="s">
        <v>393</v>
      </c>
      <c r="K243" s="593" t="b">
        <f>TRUE</f>
        <v>1</v>
      </c>
      <c r="L243" s="594">
        <v>2018</v>
      </c>
      <c r="M243" s="595">
        <v>28230000</v>
      </c>
      <c r="N243" s="596">
        <v>41361</v>
      </c>
      <c r="O243" s="596">
        <v>41361</v>
      </c>
    </row>
    <row r="244" spans="1:15" ht="12.75">
      <c r="A244" s="590">
        <v>2013</v>
      </c>
      <c r="B244" s="591" t="s">
        <v>481</v>
      </c>
      <c r="C244" s="591" t="s">
        <v>482</v>
      </c>
      <c r="D244" s="592">
        <v>1021011</v>
      </c>
      <c r="E244" s="592">
        <v>1</v>
      </c>
      <c r="F244" s="592"/>
      <c r="G244" s="592">
        <v>130</v>
      </c>
      <c r="H244" s="592">
        <v>2.1</v>
      </c>
      <c r="I244" s="592"/>
      <c r="J244" s="592" t="s">
        <v>393</v>
      </c>
      <c r="K244" s="593" t="b">
        <f>TRUE</f>
        <v>1</v>
      </c>
      <c r="L244" s="594">
        <v>2019</v>
      </c>
      <c r="M244" s="595">
        <v>28670000</v>
      </c>
      <c r="N244" s="596">
        <v>41361</v>
      </c>
      <c r="O244" s="596">
        <v>41361</v>
      </c>
    </row>
    <row r="245" spans="1:15" ht="12.75">
      <c r="A245" s="590">
        <v>2013</v>
      </c>
      <c r="B245" s="591" t="s">
        <v>481</v>
      </c>
      <c r="C245" s="591" t="s">
        <v>482</v>
      </c>
      <c r="D245" s="592">
        <v>1021011</v>
      </c>
      <c r="E245" s="592">
        <v>1</v>
      </c>
      <c r="F245" s="592"/>
      <c r="G245" s="592">
        <v>130</v>
      </c>
      <c r="H245" s="592">
        <v>2.1</v>
      </c>
      <c r="I245" s="592"/>
      <c r="J245" s="592" t="s">
        <v>393</v>
      </c>
      <c r="K245" s="593" t="b">
        <f>TRUE</f>
        <v>1</v>
      </c>
      <c r="L245" s="594">
        <v>2020</v>
      </c>
      <c r="M245" s="595">
        <v>29140000</v>
      </c>
      <c r="N245" s="596">
        <v>41361</v>
      </c>
      <c r="O245" s="596">
        <v>41361</v>
      </c>
    </row>
    <row r="246" spans="1:15" ht="12.75">
      <c r="A246" s="590">
        <v>2013</v>
      </c>
      <c r="B246" s="591" t="s">
        <v>481</v>
      </c>
      <c r="C246" s="591" t="s">
        <v>482</v>
      </c>
      <c r="D246" s="592">
        <v>1021011</v>
      </c>
      <c r="E246" s="592">
        <v>1</v>
      </c>
      <c r="F246" s="592"/>
      <c r="G246" s="592">
        <v>130</v>
      </c>
      <c r="H246" s="592">
        <v>2.1</v>
      </c>
      <c r="I246" s="592"/>
      <c r="J246" s="592" t="s">
        <v>393</v>
      </c>
      <c r="K246" s="593" t="b">
        <f>TRUE</f>
        <v>1</v>
      </c>
      <c r="L246" s="594">
        <v>2021</v>
      </c>
      <c r="M246" s="595">
        <v>29610000</v>
      </c>
      <c r="N246" s="596">
        <v>41361</v>
      </c>
      <c r="O246" s="596">
        <v>41361</v>
      </c>
    </row>
    <row r="247" spans="1:15" ht="12.75">
      <c r="A247" s="590">
        <v>2013</v>
      </c>
      <c r="B247" s="591" t="s">
        <v>481</v>
      </c>
      <c r="C247" s="591" t="s">
        <v>482</v>
      </c>
      <c r="D247" s="592">
        <v>1021011</v>
      </c>
      <c r="E247" s="592">
        <v>1</v>
      </c>
      <c r="F247" s="592"/>
      <c r="G247" s="592">
        <v>130</v>
      </c>
      <c r="H247" s="592">
        <v>2.1</v>
      </c>
      <c r="I247" s="592"/>
      <c r="J247" s="592" t="s">
        <v>393</v>
      </c>
      <c r="K247" s="593" t="b">
        <f>TRUE</f>
        <v>1</v>
      </c>
      <c r="L247" s="594">
        <v>2022</v>
      </c>
      <c r="M247" s="595">
        <v>30060000</v>
      </c>
      <c r="N247" s="596">
        <v>41361</v>
      </c>
      <c r="O247" s="596">
        <v>41361</v>
      </c>
    </row>
    <row r="248" spans="1:15" ht="12.75">
      <c r="A248" s="590">
        <v>2013</v>
      </c>
      <c r="B248" s="591" t="s">
        <v>481</v>
      </c>
      <c r="C248" s="591" t="s">
        <v>482</v>
      </c>
      <c r="D248" s="592">
        <v>1021011</v>
      </c>
      <c r="E248" s="592">
        <v>1</v>
      </c>
      <c r="F248" s="592"/>
      <c r="G248" s="592">
        <v>130</v>
      </c>
      <c r="H248" s="592">
        <v>2.1</v>
      </c>
      <c r="I248" s="592"/>
      <c r="J248" s="592" t="s">
        <v>393</v>
      </c>
      <c r="K248" s="593" t="b">
        <f>TRUE</f>
        <v>1</v>
      </c>
      <c r="L248" s="594">
        <v>2023</v>
      </c>
      <c r="M248" s="595">
        <v>30500000</v>
      </c>
      <c r="N248" s="596">
        <v>41361</v>
      </c>
      <c r="O248" s="596">
        <v>41361</v>
      </c>
    </row>
    <row r="249" spans="1:15" ht="12.75">
      <c r="A249" s="590">
        <v>2013</v>
      </c>
      <c r="B249" s="591" t="s">
        <v>481</v>
      </c>
      <c r="C249" s="591" t="s">
        <v>482</v>
      </c>
      <c r="D249" s="592">
        <v>1021011</v>
      </c>
      <c r="E249" s="592">
        <v>1</v>
      </c>
      <c r="F249" s="592"/>
      <c r="G249" s="592">
        <v>130</v>
      </c>
      <c r="H249" s="592">
        <v>2.1</v>
      </c>
      <c r="I249" s="592"/>
      <c r="J249" s="592" t="s">
        <v>393</v>
      </c>
      <c r="K249" s="593" t="b">
        <f>TRUE</f>
        <v>1</v>
      </c>
      <c r="L249" s="594">
        <v>2024</v>
      </c>
      <c r="M249" s="595">
        <v>31000000</v>
      </c>
      <c r="N249" s="596">
        <v>41361</v>
      </c>
      <c r="O249" s="596">
        <v>41361</v>
      </c>
    </row>
    <row r="250" spans="1:15" ht="12.75">
      <c r="A250" s="590">
        <v>2013</v>
      </c>
      <c r="B250" s="591" t="s">
        <v>481</v>
      </c>
      <c r="C250" s="591" t="s">
        <v>482</v>
      </c>
      <c r="D250" s="592">
        <v>1021011</v>
      </c>
      <c r="E250" s="592">
        <v>1</v>
      </c>
      <c r="F250" s="592"/>
      <c r="G250" s="592">
        <v>130</v>
      </c>
      <c r="H250" s="592">
        <v>2.1</v>
      </c>
      <c r="I250" s="592"/>
      <c r="J250" s="592" t="s">
        <v>393</v>
      </c>
      <c r="K250" s="593" t="b">
        <f>TRUE</f>
        <v>1</v>
      </c>
      <c r="L250" s="594">
        <v>2025</v>
      </c>
      <c r="M250" s="595">
        <v>31500000</v>
      </c>
      <c r="N250" s="596">
        <v>41361</v>
      </c>
      <c r="O250" s="596">
        <v>41361</v>
      </c>
    </row>
    <row r="251" spans="1:15" ht="12.75">
      <c r="A251" s="590">
        <v>2013</v>
      </c>
      <c r="B251" s="591" t="s">
        <v>481</v>
      </c>
      <c r="C251" s="591" t="s">
        <v>482</v>
      </c>
      <c r="D251" s="592">
        <v>1021011</v>
      </c>
      <c r="E251" s="592">
        <v>1</v>
      </c>
      <c r="F251" s="592"/>
      <c r="G251" s="592">
        <v>130</v>
      </c>
      <c r="H251" s="592">
        <v>2.1</v>
      </c>
      <c r="I251" s="592"/>
      <c r="J251" s="592" t="s">
        <v>393</v>
      </c>
      <c r="K251" s="593" t="b">
        <f>TRUE</f>
        <v>1</v>
      </c>
      <c r="L251" s="594">
        <v>2026</v>
      </c>
      <c r="M251" s="595">
        <v>32000000</v>
      </c>
      <c r="N251" s="596">
        <v>41361</v>
      </c>
      <c r="O251" s="596">
        <v>41361</v>
      </c>
    </row>
    <row r="252" spans="1:15" ht="12.75">
      <c r="A252" s="590">
        <v>2013</v>
      </c>
      <c r="B252" s="591" t="s">
        <v>481</v>
      </c>
      <c r="C252" s="591" t="s">
        <v>482</v>
      </c>
      <c r="D252" s="592">
        <v>1021011</v>
      </c>
      <c r="E252" s="592">
        <v>1</v>
      </c>
      <c r="F252" s="592"/>
      <c r="G252" s="592">
        <v>130</v>
      </c>
      <c r="H252" s="592">
        <v>2.1</v>
      </c>
      <c r="I252" s="592"/>
      <c r="J252" s="592" t="s">
        <v>393</v>
      </c>
      <c r="K252" s="593" t="b">
        <f>TRUE</f>
        <v>1</v>
      </c>
      <c r="L252" s="594">
        <v>2027</v>
      </c>
      <c r="M252" s="595">
        <v>32500000</v>
      </c>
      <c r="N252" s="596">
        <v>41361</v>
      </c>
      <c r="O252" s="596">
        <v>41361</v>
      </c>
    </row>
    <row r="253" spans="1:15" ht="12.75">
      <c r="A253" s="590">
        <v>2013</v>
      </c>
      <c r="B253" s="591" t="s">
        <v>481</v>
      </c>
      <c r="C253" s="591" t="s">
        <v>482</v>
      </c>
      <c r="D253" s="592">
        <v>1021011</v>
      </c>
      <c r="E253" s="592">
        <v>1</v>
      </c>
      <c r="F253" s="592"/>
      <c r="G253" s="592">
        <v>130</v>
      </c>
      <c r="H253" s="592">
        <v>2.1</v>
      </c>
      <c r="I253" s="592"/>
      <c r="J253" s="592" t="s">
        <v>393</v>
      </c>
      <c r="K253" s="593" t="b">
        <f>TRUE</f>
        <v>1</v>
      </c>
      <c r="L253" s="594">
        <v>2028</v>
      </c>
      <c r="M253" s="595">
        <v>33000000</v>
      </c>
      <c r="N253" s="596">
        <v>41361</v>
      </c>
      <c r="O253" s="596">
        <v>41361</v>
      </c>
    </row>
    <row r="254" spans="1:15" ht="12.75">
      <c r="A254" s="590">
        <v>2013</v>
      </c>
      <c r="B254" s="591" t="s">
        <v>481</v>
      </c>
      <c r="C254" s="591" t="s">
        <v>482</v>
      </c>
      <c r="D254" s="592">
        <v>1021011</v>
      </c>
      <c r="E254" s="592">
        <v>1</v>
      </c>
      <c r="F254" s="592"/>
      <c r="G254" s="592">
        <v>130</v>
      </c>
      <c r="H254" s="592">
        <v>2.1</v>
      </c>
      <c r="I254" s="592"/>
      <c r="J254" s="592" t="s">
        <v>393</v>
      </c>
      <c r="K254" s="593" t="b">
        <f>TRUE</f>
        <v>1</v>
      </c>
      <c r="L254" s="594">
        <v>2029</v>
      </c>
      <c r="M254" s="595">
        <v>33500000</v>
      </c>
      <c r="N254" s="596">
        <v>41361</v>
      </c>
      <c r="O254" s="596">
        <v>41361</v>
      </c>
    </row>
    <row r="255" spans="1:15" ht="12.75">
      <c r="A255" s="590">
        <v>2013</v>
      </c>
      <c r="B255" s="591" t="s">
        <v>481</v>
      </c>
      <c r="C255" s="591" t="s">
        <v>482</v>
      </c>
      <c r="D255" s="592">
        <v>1021011</v>
      </c>
      <c r="E255" s="592">
        <v>1</v>
      </c>
      <c r="F255" s="592"/>
      <c r="G255" s="592">
        <v>650</v>
      </c>
      <c r="H255" s="592">
        <v>11.6</v>
      </c>
      <c r="I255" s="592"/>
      <c r="J255" s="592" t="s">
        <v>436</v>
      </c>
      <c r="K255" s="593" t="b">
        <f>TRUE</f>
        <v>1</v>
      </c>
      <c r="L255" s="594">
        <v>2013</v>
      </c>
      <c r="M255" s="595">
        <v>250000</v>
      </c>
      <c r="N255" s="596">
        <v>41361</v>
      </c>
      <c r="O255" s="596">
        <v>41361</v>
      </c>
    </row>
    <row r="256" spans="1:15" ht="12.75">
      <c r="A256" s="590">
        <v>2013</v>
      </c>
      <c r="B256" s="591" t="s">
        <v>481</v>
      </c>
      <c r="C256" s="591" t="s">
        <v>482</v>
      </c>
      <c r="D256" s="592">
        <v>1021011</v>
      </c>
      <c r="E256" s="592">
        <v>1</v>
      </c>
      <c r="F256" s="592"/>
      <c r="G256" s="592">
        <v>90</v>
      </c>
      <c r="H256" s="592">
        <v>1.2</v>
      </c>
      <c r="I256" s="592"/>
      <c r="J256" s="592" t="s">
        <v>390</v>
      </c>
      <c r="K256" s="593" t="b">
        <f>TRUE</f>
        <v>1</v>
      </c>
      <c r="L256" s="594">
        <v>2013</v>
      </c>
      <c r="M256" s="595">
        <v>914995.71</v>
      </c>
      <c r="N256" s="596">
        <v>41361</v>
      </c>
      <c r="O256" s="596">
        <v>41361</v>
      </c>
    </row>
    <row r="257" spans="1:15" ht="12.75">
      <c r="A257" s="590">
        <v>2013</v>
      </c>
      <c r="B257" s="591" t="s">
        <v>481</v>
      </c>
      <c r="C257" s="591" t="s">
        <v>482</v>
      </c>
      <c r="D257" s="592">
        <v>1021011</v>
      </c>
      <c r="E257" s="592">
        <v>1</v>
      </c>
      <c r="F257" s="592"/>
      <c r="G257" s="592">
        <v>250</v>
      </c>
      <c r="H257" s="592" t="s">
        <v>54</v>
      </c>
      <c r="I257" s="592"/>
      <c r="J257" s="592" t="s">
        <v>403</v>
      </c>
      <c r="K257" s="593" t="b">
        <f>FALSE</f>
        <v>0</v>
      </c>
      <c r="L257" s="594">
        <v>2013</v>
      </c>
      <c r="M257" s="595">
        <v>2607411.22</v>
      </c>
      <c r="N257" s="596">
        <v>41361</v>
      </c>
      <c r="O257" s="596">
        <v>41361</v>
      </c>
    </row>
    <row r="258" spans="1:15" ht="12.75">
      <c r="A258" s="590">
        <v>2013</v>
      </c>
      <c r="B258" s="591" t="s">
        <v>481</v>
      </c>
      <c r="C258" s="591" t="s">
        <v>482</v>
      </c>
      <c r="D258" s="592">
        <v>1021011</v>
      </c>
      <c r="E258" s="592">
        <v>1</v>
      </c>
      <c r="F258" s="592"/>
      <c r="G258" s="592">
        <v>420</v>
      </c>
      <c r="H258" s="592">
        <v>8.1</v>
      </c>
      <c r="I258" s="592" t="s">
        <v>491</v>
      </c>
      <c r="J258" s="592" t="s">
        <v>415</v>
      </c>
      <c r="K258" s="593" t="b">
        <f>FALSE</f>
        <v>0</v>
      </c>
      <c r="L258" s="594">
        <v>2013</v>
      </c>
      <c r="M258" s="595">
        <v>3620880.35</v>
      </c>
      <c r="N258" s="596">
        <v>41361</v>
      </c>
      <c r="O258" s="596">
        <v>41361</v>
      </c>
    </row>
    <row r="259" spans="1:15" ht="12.75">
      <c r="A259" s="590">
        <v>2013</v>
      </c>
      <c r="B259" s="591" t="s">
        <v>481</v>
      </c>
      <c r="C259" s="591" t="s">
        <v>482</v>
      </c>
      <c r="D259" s="592">
        <v>1021011</v>
      </c>
      <c r="E259" s="592">
        <v>1</v>
      </c>
      <c r="F259" s="592"/>
      <c r="G259" s="592">
        <v>420</v>
      </c>
      <c r="H259" s="592">
        <v>8.1</v>
      </c>
      <c r="I259" s="592" t="s">
        <v>491</v>
      </c>
      <c r="J259" s="592" t="s">
        <v>415</v>
      </c>
      <c r="K259" s="593" t="b">
        <f>FALSE</f>
        <v>0</v>
      </c>
      <c r="L259" s="594">
        <v>2017</v>
      </c>
      <c r="M259" s="595">
        <v>4210000</v>
      </c>
      <c r="N259" s="596">
        <v>41361</v>
      </c>
      <c r="O259" s="596">
        <v>41361</v>
      </c>
    </row>
    <row r="260" spans="1:15" ht="12.75">
      <c r="A260" s="590">
        <v>2013</v>
      </c>
      <c r="B260" s="591" t="s">
        <v>481</v>
      </c>
      <c r="C260" s="591" t="s">
        <v>482</v>
      </c>
      <c r="D260" s="592">
        <v>1021011</v>
      </c>
      <c r="E260" s="592">
        <v>1</v>
      </c>
      <c r="F260" s="592"/>
      <c r="G260" s="592">
        <v>420</v>
      </c>
      <c r="H260" s="592">
        <v>8.1</v>
      </c>
      <c r="I260" s="592" t="s">
        <v>491</v>
      </c>
      <c r="J260" s="592" t="s">
        <v>415</v>
      </c>
      <c r="K260" s="593" t="b">
        <f>FALSE</f>
        <v>0</v>
      </c>
      <c r="L260" s="594">
        <v>2018</v>
      </c>
      <c r="M260" s="595">
        <v>4270000</v>
      </c>
      <c r="N260" s="596">
        <v>41361</v>
      </c>
      <c r="O260" s="596">
        <v>41361</v>
      </c>
    </row>
    <row r="261" spans="1:15" ht="12.75">
      <c r="A261" s="590">
        <v>2013</v>
      </c>
      <c r="B261" s="591" t="s">
        <v>481</v>
      </c>
      <c r="C261" s="591" t="s">
        <v>482</v>
      </c>
      <c r="D261" s="592">
        <v>1021011</v>
      </c>
      <c r="E261" s="592">
        <v>1</v>
      </c>
      <c r="F261" s="592"/>
      <c r="G261" s="592">
        <v>420</v>
      </c>
      <c r="H261" s="592">
        <v>8.1</v>
      </c>
      <c r="I261" s="592" t="s">
        <v>491</v>
      </c>
      <c r="J261" s="592" t="s">
        <v>415</v>
      </c>
      <c r="K261" s="593" t="b">
        <f>FALSE</f>
        <v>0</v>
      </c>
      <c r="L261" s="594">
        <v>2019</v>
      </c>
      <c r="M261" s="595">
        <v>4330000</v>
      </c>
      <c r="N261" s="596">
        <v>41361</v>
      </c>
      <c r="O261" s="596">
        <v>41361</v>
      </c>
    </row>
    <row r="262" spans="1:15" ht="12.75">
      <c r="A262" s="590">
        <v>2013</v>
      </c>
      <c r="B262" s="591" t="s">
        <v>481</v>
      </c>
      <c r="C262" s="591" t="s">
        <v>482</v>
      </c>
      <c r="D262" s="592">
        <v>1021011</v>
      </c>
      <c r="E262" s="592">
        <v>1</v>
      </c>
      <c r="F262" s="592"/>
      <c r="G262" s="592">
        <v>420</v>
      </c>
      <c r="H262" s="592">
        <v>8.1</v>
      </c>
      <c r="I262" s="592" t="s">
        <v>491</v>
      </c>
      <c r="J262" s="592" t="s">
        <v>415</v>
      </c>
      <c r="K262" s="593" t="b">
        <f>FALSE</f>
        <v>0</v>
      </c>
      <c r="L262" s="594">
        <v>2020</v>
      </c>
      <c r="M262" s="595">
        <v>4360000</v>
      </c>
      <c r="N262" s="596">
        <v>41361</v>
      </c>
      <c r="O262" s="596">
        <v>41361</v>
      </c>
    </row>
    <row r="263" spans="1:15" ht="12.75">
      <c r="A263" s="590">
        <v>2013</v>
      </c>
      <c r="B263" s="591" t="s">
        <v>481</v>
      </c>
      <c r="C263" s="591" t="s">
        <v>482</v>
      </c>
      <c r="D263" s="592">
        <v>1021011</v>
      </c>
      <c r="E263" s="592">
        <v>1</v>
      </c>
      <c r="F263" s="592"/>
      <c r="G263" s="592">
        <v>420</v>
      </c>
      <c r="H263" s="592">
        <v>8.1</v>
      </c>
      <c r="I263" s="592" t="s">
        <v>491</v>
      </c>
      <c r="J263" s="592" t="s">
        <v>415</v>
      </c>
      <c r="K263" s="593" t="b">
        <f>FALSE</f>
        <v>0</v>
      </c>
      <c r="L263" s="594">
        <v>2021</v>
      </c>
      <c r="M263" s="595">
        <v>4390000</v>
      </c>
      <c r="N263" s="596">
        <v>41361</v>
      </c>
      <c r="O263" s="596">
        <v>41361</v>
      </c>
    </row>
    <row r="264" spans="1:15" ht="12.75">
      <c r="A264" s="590">
        <v>2013</v>
      </c>
      <c r="B264" s="591" t="s">
        <v>481</v>
      </c>
      <c r="C264" s="591" t="s">
        <v>482</v>
      </c>
      <c r="D264" s="592">
        <v>1021011</v>
      </c>
      <c r="E264" s="592">
        <v>1</v>
      </c>
      <c r="F264" s="592"/>
      <c r="G264" s="592">
        <v>420</v>
      </c>
      <c r="H264" s="592">
        <v>8.1</v>
      </c>
      <c r="I264" s="592" t="s">
        <v>491</v>
      </c>
      <c r="J264" s="592" t="s">
        <v>415</v>
      </c>
      <c r="K264" s="593" t="b">
        <f>FALSE</f>
        <v>0</v>
      </c>
      <c r="L264" s="594">
        <v>2022</v>
      </c>
      <c r="M264" s="595">
        <v>4440000</v>
      </c>
      <c r="N264" s="596">
        <v>41361</v>
      </c>
      <c r="O264" s="596">
        <v>41361</v>
      </c>
    </row>
    <row r="265" spans="1:15" ht="12.75">
      <c r="A265" s="590">
        <v>2013</v>
      </c>
      <c r="B265" s="591" t="s">
        <v>481</v>
      </c>
      <c r="C265" s="591" t="s">
        <v>482</v>
      </c>
      <c r="D265" s="592">
        <v>1021011</v>
      </c>
      <c r="E265" s="592">
        <v>1</v>
      </c>
      <c r="F265" s="592"/>
      <c r="G265" s="592">
        <v>420</v>
      </c>
      <c r="H265" s="592">
        <v>8.1</v>
      </c>
      <c r="I265" s="592" t="s">
        <v>491</v>
      </c>
      <c r="J265" s="592" t="s">
        <v>415</v>
      </c>
      <c r="K265" s="593" t="b">
        <f>FALSE</f>
        <v>0</v>
      </c>
      <c r="L265" s="594">
        <v>2023</v>
      </c>
      <c r="M265" s="595">
        <v>4500000</v>
      </c>
      <c r="N265" s="596">
        <v>41361</v>
      </c>
      <c r="O265" s="596">
        <v>41361</v>
      </c>
    </row>
    <row r="266" spans="1:15" ht="12.75">
      <c r="A266" s="590">
        <v>2013</v>
      </c>
      <c r="B266" s="591" t="s">
        <v>481</v>
      </c>
      <c r="C266" s="591" t="s">
        <v>482</v>
      </c>
      <c r="D266" s="592">
        <v>1021011</v>
      </c>
      <c r="E266" s="592">
        <v>1</v>
      </c>
      <c r="F266" s="592"/>
      <c r="G266" s="592">
        <v>420</v>
      </c>
      <c r="H266" s="592">
        <v>8.1</v>
      </c>
      <c r="I266" s="592" t="s">
        <v>491</v>
      </c>
      <c r="J266" s="592" t="s">
        <v>415</v>
      </c>
      <c r="K266" s="593" t="b">
        <f>FALSE</f>
        <v>0</v>
      </c>
      <c r="L266" s="594">
        <v>2024</v>
      </c>
      <c r="M266" s="595">
        <v>4500000</v>
      </c>
      <c r="N266" s="596">
        <v>41361</v>
      </c>
      <c r="O266" s="596">
        <v>41361</v>
      </c>
    </row>
    <row r="267" spans="1:15" ht="12.75">
      <c r="A267" s="590">
        <v>2013</v>
      </c>
      <c r="B267" s="591" t="s">
        <v>481</v>
      </c>
      <c r="C267" s="591" t="s">
        <v>482</v>
      </c>
      <c r="D267" s="592">
        <v>1021011</v>
      </c>
      <c r="E267" s="592">
        <v>1</v>
      </c>
      <c r="F267" s="592"/>
      <c r="G267" s="592">
        <v>420</v>
      </c>
      <c r="H267" s="592">
        <v>8.1</v>
      </c>
      <c r="I267" s="592" t="s">
        <v>491</v>
      </c>
      <c r="J267" s="592" t="s">
        <v>415</v>
      </c>
      <c r="K267" s="593" t="b">
        <f>FALSE</f>
        <v>0</v>
      </c>
      <c r="L267" s="594">
        <v>2025</v>
      </c>
      <c r="M267" s="595">
        <v>4500000</v>
      </c>
      <c r="N267" s="596">
        <v>41361</v>
      </c>
      <c r="O267" s="596">
        <v>41361</v>
      </c>
    </row>
    <row r="268" spans="1:15" ht="12.75">
      <c r="A268" s="590">
        <v>2013</v>
      </c>
      <c r="B268" s="591" t="s">
        <v>481</v>
      </c>
      <c r="C268" s="591" t="s">
        <v>482</v>
      </c>
      <c r="D268" s="592">
        <v>1021011</v>
      </c>
      <c r="E268" s="592">
        <v>1</v>
      </c>
      <c r="F268" s="592"/>
      <c r="G268" s="592">
        <v>420</v>
      </c>
      <c r="H268" s="592">
        <v>8.1</v>
      </c>
      <c r="I268" s="592" t="s">
        <v>491</v>
      </c>
      <c r="J268" s="592" t="s">
        <v>415</v>
      </c>
      <c r="K268" s="593" t="b">
        <f>FALSE</f>
        <v>0</v>
      </c>
      <c r="L268" s="594">
        <v>2026</v>
      </c>
      <c r="M268" s="595">
        <v>4500000</v>
      </c>
      <c r="N268" s="596">
        <v>41361</v>
      </c>
      <c r="O268" s="596">
        <v>41361</v>
      </c>
    </row>
    <row r="269" spans="1:15" ht="12.75">
      <c r="A269" s="590">
        <v>2013</v>
      </c>
      <c r="B269" s="591" t="s">
        <v>481</v>
      </c>
      <c r="C269" s="591" t="s">
        <v>482</v>
      </c>
      <c r="D269" s="592">
        <v>1021011</v>
      </c>
      <c r="E269" s="592">
        <v>1</v>
      </c>
      <c r="F269" s="592"/>
      <c r="G269" s="592">
        <v>420</v>
      </c>
      <c r="H269" s="592">
        <v>8.1</v>
      </c>
      <c r="I269" s="592" t="s">
        <v>491</v>
      </c>
      <c r="J269" s="592" t="s">
        <v>415</v>
      </c>
      <c r="K269" s="593" t="b">
        <f>FALSE</f>
        <v>0</v>
      </c>
      <c r="L269" s="594">
        <v>2027</v>
      </c>
      <c r="M269" s="595">
        <v>4500000</v>
      </c>
      <c r="N269" s="596">
        <v>41361</v>
      </c>
      <c r="O269" s="596">
        <v>41361</v>
      </c>
    </row>
    <row r="270" spans="1:15" ht="12.75">
      <c r="A270" s="590">
        <v>2013</v>
      </c>
      <c r="B270" s="591" t="s">
        <v>481</v>
      </c>
      <c r="C270" s="591" t="s">
        <v>482</v>
      </c>
      <c r="D270" s="592">
        <v>1021011</v>
      </c>
      <c r="E270" s="592">
        <v>1</v>
      </c>
      <c r="F270" s="592"/>
      <c r="G270" s="592">
        <v>420</v>
      </c>
      <c r="H270" s="592">
        <v>8.1</v>
      </c>
      <c r="I270" s="592" t="s">
        <v>491</v>
      </c>
      <c r="J270" s="592" t="s">
        <v>415</v>
      </c>
      <c r="K270" s="593" t="b">
        <f>FALSE</f>
        <v>0</v>
      </c>
      <c r="L270" s="594">
        <v>2028</v>
      </c>
      <c r="M270" s="595">
        <v>4500000</v>
      </c>
      <c r="N270" s="596">
        <v>41361</v>
      </c>
      <c r="O270" s="596">
        <v>41361</v>
      </c>
    </row>
    <row r="271" spans="1:15" ht="12.75">
      <c r="A271" s="590">
        <v>2013</v>
      </c>
      <c r="B271" s="591" t="s">
        <v>481</v>
      </c>
      <c r="C271" s="591" t="s">
        <v>482</v>
      </c>
      <c r="D271" s="592">
        <v>1021011</v>
      </c>
      <c r="E271" s="592">
        <v>1</v>
      </c>
      <c r="F271" s="592"/>
      <c r="G271" s="592">
        <v>420</v>
      </c>
      <c r="H271" s="592">
        <v>8.1</v>
      </c>
      <c r="I271" s="592" t="s">
        <v>491</v>
      </c>
      <c r="J271" s="592" t="s">
        <v>415</v>
      </c>
      <c r="K271" s="593" t="b">
        <f>FALSE</f>
        <v>0</v>
      </c>
      <c r="L271" s="594">
        <v>2029</v>
      </c>
      <c r="M271" s="595">
        <v>4500000</v>
      </c>
      <c r="N271" s="596">
        <v>41361</v>
      </c>
      <c r="O271" s="596">
        <v>41361</v>
      </c>
    </row>
    <row r="272" spans="1:15" ht="12.75">
      <c r="A272" s="590">
        <v>2013</v>
      </c>
      <c r="B272" s="591" t="s">
        <v>481</v>
      </c>
      <c r="C272" s="591" t="s">
        <v>482</v>
      </c>
      <c r="D272" s="592">
        <v>1021011</v>
      </c>
      <c r="E272" s="592">
        <v>1</v>
      </c>
      <c r="F272" s="592"/>
      <c r="G272" s="592">
        <v>610</v>
      </c>
      <c r="H272" s="592" t="s">
        <v>118</v>
      </c>
      <c r="I272" s="592"/>
      <c r="J272" s="592" t="s">
        <v>432</v>
      </c>
      <c r="K272" s="593" t="b">
        <f>TRUE</f>
        <v>1</v>
      </c>
      <c r="L272" s="594">
        <v>2013</v>
      </c>
      <c r="M272" s="595">
        <v>1008437.56</v>
      </c>
      <c r="N272" s="596">
        <v>41361</v>
      </c>
      <c r="O272" s="596">
        <v>41361</v>
      </c>
    </row>
    <row r="273" spans="1:15" ht="12.75">
      <c r="A273" s="590">
        <v>2013</v>
      </c>
      <c r="B273" s="591" t="s">
        <v>481</v>
      </c>
      <c r="C273" s="591" t="s">
        <v>482</v>
      </c>
      <c r="D273" s="592">
        <v>1021011</v>
      </c>
      <c r="E273" s="592">
        <v>1</v>
      </c>
      <c r="F273" s="592"/>
      <c r="G273" s="592">
        <v>610</v>
      </c>
      <c r="H273" s="592" t="s">
        <v>118</v>
      </c>
      <c r="I273" s="592"/>
      <c r="J273" s="592" t="s">
        <v>432</v>
      </c>
      <c r="K273" s="593" t="b">
        <f>TRUE</f>
        <v>1</v>
      </c>
      <c r="L273" s="594">
        <v>2014</v>
      </c>
      <c r="M273" s="595">
        <v>554030.08</v>
      </c>
      <c r="N273" s="596">
        <v>41361</v>
      </c>
      <c r="O273" s="596">
        <v>41361</v>
      </c>
    </row>
    <row r="274" spans="1:15" ht="12.75">
      <c r="A274" s="590">
        <v>2013</v>
      </c>
      <c r="B274" s="591" t="s">
        <v>481</v>
      </c>
      <c r="C274" s="591" t="s">
        <v>482</v>
      </c>
      <c r="D274" s="592">
        <v>1021011</v>
      </c>
      <c r="E274" s="592">
        <v>1</v>
      </c>
      <c r="F274" s="592"/>
      <c r="G274" s="592">
        <v>610</v>
      </c>
      <c r="H274" s="592" t="s">
        <v>118</v>
      </c>
      <c r="I274" s="592"/>
      <c r="J274" s="592" t="s">
        <v>432</v>
      </c>
      <c r="K274" s="593" t="b">
        <f>TRUE</f>
        <v>1</v>
      </c>
      <c r="L274" s="594">
        <v>2015</v>
      </c>
      <c r="M274" s="595">
        <v>179052.82</v>
      </c>
      <c r="N274" s="596">
        <v>41361</v>
      </c>
      <c r="O274" s="596">
        <v>41361</v>
      </c>
    </row>
    <row r="275" spans="1:15" ht="12.75">
      <c r="A275" s="590">
        <v>2013</v>
      </c>
      <c r="B275" s="591" t="s">
        <v>481</v>
      </c>
      <c r="C275" s="591" t="s">
        <v>482</v>
      </c>
      <c r="D275" s="592">
        <v>1021011</v>
      </c>
      <c r="E275" s="592">
        <v>1</v>
      </c>
      <c r="F275" s="592"/>
      <c r="G275" s="592">
        <v>610</v>
      </c>
      <c r="H275" s="592" t="s">
        <v>118</v>
      </c>
      <c r="I275" s="592"/>
      <c r="J275" s="592" t="s">
        <v>432</v>
      </c>
      <c r="K275" s="593" t="b">
        <f>TRUE</f>
        <v>1</v>
      </c>
      <c r="L275" s="594">
        <v>2016</v>
      </c>
      <c r="M275" s="595">
        <v>56</v>
      </c>
      <c r="N275" s="596">
        <v>41361</v>
      </c>
      <c r="O275" s="596">
        <v>41361</v>
      </c>
    </row>
    <row r="276" spans="1:15" ht="12.75">
      <c r="A276" s="590">
        <v>2013</v>
      </c>
      <c r="B276" s="591" t="s">
        <v>481</v>
      </c>
      <c r="C276" s="591" t="s">
        <v>482</v>
      </c>
      <c r="D276" s="592">
        <v>1021011</v>
      </c>
      <c r="E276" s="592">
        <v>1</v>
      </c>
      <c r="F276" s="592"/>
      <c r="G276" s="592">
        <v>610</v>
      </c>
      <c r="H276" s="592" t="s">
        <v>118</v>
      </c>
      <c r="I276" s="592"/>
      <c r="J276" s="592" t="s">
        <v>432</v>
      </c>
      <c r="K276" s="593" t="b">
        <f>TRUE</f>
        <v>1</v>
      </c>
      <c r="L276" s="594">
        <v>2017</v>
      </c>
      <c r="M276" s="595">
        <v>56</v>
      </c>
      <c r="N276" s="596">
        <v>41361</v>
      </c>
      <c r="O276" s="596">
        <v>41361</v>
      </c>
    </row>
    <row r="277" spans="1:15" ht="12.75">
      <c r="A277" s="590">
        <v>2013</v>
      </c>
      <c r="B277" s="591" t="s">
        <v>481</v>
      </c>
      <c r="C277" s="591" t="s">
        <v>482</v>
      </c>
      <c r="D277" s="592">
        <v>1021011</v>
      </c>
      <c r="E277" s="592">
        <v>1</v>
      </c>
      <c r="F277" s="592"/>
      <c r="G277" s="592">
        <v>610</v>
      </c>
      <c r="H277" s="592" t="s">
        <v>118</v>
      </c>
      <c r="I277" s="592"/>
      <c r="J277" s="592" t="s">
        <v>432</v>
      </c>
      <c r="K277" s="593" t="b">
        <f>TRUE</f>
        <v>1</v>
      </c>
      <c r="L277" s="594">
        <v>2018</v>
      </c>
      <c r="M277" s="595">
        <v>56</v>
      </c>
      <c r="N277" s="596">
        <v>41361</v>
      </c>
      <c r="O277" s="596">
        <v>41361</v>
      </c>
    </row>
    <row r="278" spans="1:15" ht="12.75">
      <c r="A278" s="590">
        <v>2013</v>
      </c>
      <c r="B278" s="591" t="s">
        <v>481</v>
      </c>
      <c r="C278" s="591" t="s">
        <v>482</v>
      </c>
      <c r="D278" s="592">
        <v>1021011</v>
      </c>
      <c r="E278" s="592">
        <v>1</v>
      </c>
      <c r="F278" s="592"/>
      <c r="G278" s="592">
        <v>610</v>
      </c>
      <c r="H278" s="592" t="s">
        <v>118</v>
      </c>
      <c r="I278" s="592"/>
      <c r="J278" s="592" t="s">
        <v>432</v>
      </c>
      <c r="K278" s="593" t="b">
        <f>TRUE</f>
        <v>1</v>
      </c>
      <c r="L278" s="594">
        <v>2019</v>
      </c>
      <c r="M278" s="595">
        <v>56</v>
      </c>
      <c r="N278" s="596">
        <v>41361</v>
      </c>
      <c r="O278" s="596">
        <v>41361</v>
      </c>
    </row>
    <row r="279" spans="1:15" ht="12.75">
      <c r="A279" s="590">
        <v>2013</v>
      </c>
      <c r="B279" s="591" t="s">
        <v>481</v>
      </c>
      <c r="C279" s="591" t="s">
        <v>482</v>
      </c>
      <c r="D279" s="592">
        <v>1021011</v>
      </c>
      <c r="E279" s="592">
        <v>1</v>
      </c>
      <c r="F279" s="592"/>
      <c r="G279" s="592">
        <v>610</v>
      </c>
      <c r="H279" s="592" t="s">
        <v>118</v>
      </c>
      <c r="I279" s="592"/>
      <c r="J279" s="592" t="s">
        <v>432</v>
      </c>
      <c r="K279" s="593" t="b">
        <f>TRUE</f>
        <v>1</v>
      </c>
      <c r="L279" s="594">
        <v>2020</v>
      </c>
      <c r="M279" s="595">
        <v>20</v>
      </c>
      <c r="N279" s="596">
        <v>41361</v>
      </c>
      <c r="O279" s="596">
        <v>41361</v>
      </c>
    </row>
    <row r="280" spans="1:15" ht="12.75">
      <c r="A280" s="590">
        <v>2013</v>
      </c>
      <c r="B280" s="591" t="s">
        <v>481</v>
      </c>
      <c r="C280" s="591" t="s">
        <v>482</v>
      </c>
      <c r="D280" s="592">
        <v>1021011</v>
      </c>
      <c r="E280" s="592">
        <v>1</v>
      </c>
      <c r="F280" s="592"/>
      <c r="G280" s="592">
        <v>590</v>
      </c>
      <c r="H280" s="592">
        <v>11.2</v>
      </c>
      <c r="I280" s="592"/>
      <c r="J280" s="592" t="s">
        <v>430</v>
      </c>
      <c r="K280" s="593" t="b">
        <f>TRUE</f>
        <v>1</v>
      </c>
      <c r="L280" s="594">
        <v>2013</v>
      </c>
      <c r="M280" s="595">
        <v>14011836.16</v>
      </c>
      <c r="N280" s="596">
        <v>41361</v>
      </c>
      <c r="O280" s="596">
        <v>41361</v>
      </c>
    </row>
    <row r="281" spans="1:15" ht="12.75">
      <c r="A281" s="590">
        <v>2013</v>
      </c>
      <c r="B281" s="591" t="s">
        <v>481</v>
      </c>
      <c r="C281" s="591" t="s">
        <v>482</v>
      </c>
      <c r="D281" s="592">
        <v>1021011</v>
      </c>
      <c r="E281" s="592">
        <v>1</v>
      </c>
      <c r="F281" s="592"/>
      <c r="G281" s="592">
        <v>450</v>
      </c>
      <c r="H281" s="592">
        <v>9.1</v>
      </c>
      <c r="I281" s="592" t="s">
        <v>493</v>
      </c>
      <c r="J281" s="592" t="s">
        <v>417</v>
      </c>
      <c r="K281" s="593" t="b">
        <f>TRUE</f>
        <v>1</v>
      </c>
      <c r="L281" s="594">
        <v>2013</v>
      </c>
      <c r="M281" s="595">
        <v>0.1006</v>
      </c>
      <c r="N281" s="596">
        <v>41361</v>
      </c>
      <c r="O281" s="596">
        <v>41361</v>
      </c>
    </row>
    <row r="282" spans="1:15" ht="12.75">
      <c r="A282" s="590">
        <v>2013</v>
      </c>
      <c r="B282" s="591" t="s">
        <v>481</v>
      </c>
      <c r="C282" s="591" t="s">
        <v>482</v>
      </c>
      <c r="D282" s="592">
        <v>1021011</v>
      </c>
      <c r="E282" s="592">
        <v>1</v>
      </c>
      <c r="F282" s="592"/>
      <c r="G282" s="592">
        <v>450</v>
      </c>
      <c r="H282" s="592">
        <v>9.1</v>
      </c>
      <c r="I282" s="592" t="s">
        <v>493</v>
      </c>
      <c r="J282" s="592" t="s">
        <v>417</v>
      </c>
      <c r="K282" s="593" t="b">
        <f>TRUE</f>
        <v>1</v>
      </c>
      <c r="L282" s="594">
        <v>2014</v>
      </c>
      <c r="M282" s="595">
        <v>0.0703</v>
      </c>
      <c r="N282" s="596">
        <v>41361</v>
      </c>
      <c r="O282" s="596">
        <v>41361</v>
      </c>
    </row>
    <row r="283" spans="1:15" ht="12.75">
      <c r="A283" s="590">
        <v>2013</v>
      </c>
      <c r="B283" s="591" t="s">
        <v>481</v>
      </c>
      <c r="C283" s="591" t="s">
        <v>482</v>
      </c>
      <c r="D283" s="592">
        <v>1021011</v>
      </c>
      <c r="E283" s="592">
        <v>1</v>
      </c>
      <c r="F283" s="592"/>
      <c r="G283" s="592">
        <v>450</v>
      </c>
      <c r="H283" s="592">
        <v>9.1</v>
      </c>
      <c r="I283" s="592" t="s">
        <v>493</v>
      </c>
      <c r="J283" s="592" t="s">
        <v>417</v>
      </c>
      <c r="K283" s="593" t="b">
        <f>TRUE</f>
        <v>1</v>
      </c>
      <c r="L283" s="594">
        <v>2015</v>
      </c>
      <c r="M283" s="595">
        <v>0.0842</v>
      </c>
      <c r="N283" s="596">
        <v>41361</v>
      </c>
      <c r="O283" s="596">
        <v>41361</v>
      </c>
    </row>
    <row r="284" spans="1:15" ht="12.75">
      <c r="A284" s="590">
        <v>2013</v>
      </c>
      <c r="B284" s="591" t="s">
        <v>481</v>
      </c>
      <c r="C284" s="591" t="s">
        <v>482</v>
      </c>
      <c r="D284" s="592">
        <v>1021011</v>
      </c>
      <c r="E284" s="592">
        <v>1</v>
      </c>
      <c r="F284" s="592"/>
      <c r="G284" s="592">
        <v>190</v>
      </c>
      <c r="H284" s="592">
        <v>2.2</v>
      </c>
      <c r="I284" s="592"/>
      <c r="J284" s="592" t="s">
        <v>399</v>
      </c>
      <c r="K284" s="593" t="b">
        <f>FALSE</f>
        <v>0</v>
      </c>
      <c r="L284" s="594">
        <v>2022</v>
      </c>
      <c r="M284" s="595">
        <v>3386631.84</v>
      </c>
      <c r="N284" s="596">
        <v>41361</v>
      </c>
      <c r="O284" s="596">
        <v>41361</v>
      </c>
    </row>
    <row r="285" spans="1:15" ht="12.75">
      <c r="A285" s="590">
        <v>2013</v>
      </c>
      <c r="B285" s="591" t="s">
        <v>481</v>
      </c>
      <c r="C285" s="591" t="s">
        <v>482</v>
      </c>
      <c r="D285" s="592">
        <v>1021011</v>
      </c>
      <c r="E285" s="592">
        <v>1</v>
      </c>
      <c r="F285" s="592"/>
      <c r="G285" s="592">
        <v>190</v>
      </c>
      <c r="H285" s="592">
        <v>2.2</v>
      </c>
      <c r="I285" s="592"/>
      <c r="J285" s="592" t="s">
        <v>399</v>
      </c>
      <c r="K285" s="593" t="b">
        <f>FALSE</f>
        <v>0</v>
      </c>
      <c r="L285" s="594">
        <v>2023</v>
      </c>
      <c r="M285" s="595">
        <v>4500000</v>
      </c>
      <c r="N285" s="596">
        <v>41361</v>
      </c>
      <c r="O285" s="596">
        <v>41361</v>
      </c>
    </row>
    <row r="286" spans="1:15" ht="12.75">
      <c r="A286" s="590">
        <v>2013</v>
      </c>
      <c r="B286" s="591" t="s">
        <v>481</v>
      </c>
      <c r="C286" s="591" t="s">
        <v>482</v>
      </c>
      <c r="D286" s="592">
        <v>1021011</v>
      </c>
      <c r="E286" s="592">
        <v>1</v>
      </c>
      <c r="F286" s="592"/>
      <c r="G286" s="592">
        <v>450</v>
      </c>
      <c r="H286" s="592">
        <v>9.1</v>
      </c>
      <c r="I286" s="592" t="s">
        <v>493</v>
      </c>
      <c r="J286" s="592" t="s">
        <v>417</v>
      </c>
      <c r="K286" s="593" t="b">
        <f>TRUE</f>
        <v>1</v>
      </c>
      <c r="L286" s="594">
        <v>2016</v>
      </c>
      <c r="M286" s="595">
        <v>0.0803</v>
      </c>
      <c r="N286" s="596">
        <v>41361</v>
      </c>
      <c r="O286" s="596">
        <v>41361</v>
      </c>
    </row>
    <row r="287" spans="1:15" ht="12.75">
      <c r="A287" s="590">
        <v>2013</v>
      </c>
      <c r="B287" s="591" t="s">
        <v>481</v>
      </c>
      <c r="C287" s="591" t="s">
        <v>482</v>
      </c>
      <c r="D287" s="592">
        <v>1021011</v>
      </c>
      <c r="E287" s="592">
        <v>1</v>
      </c>
      <c r="F287" s="592"/>
      <c r="G287" s="592">
        <v>450</v>
      </c>
      <c r="H287" s="592">
        <v>9.1</v>
      </c>
      <c r="I287" s="592" t="s">
        <v>493</v>
      </c>
      <c r="J287" s="592" t="s">
        <v>417</v>
      </c>
      <c r="K287" s="593" t="b">
        <f>TRUE</f>
        <v>1</v>
      </c>
      <c r="L287" s="594">
        <v>2017</v>
      </c>
      <c r="M287" s="595">
        <v>0.0813</v>
      </c>
      <c r="N287" s="596">
        <v>41361</v>
      </c>
      <c r="O287" s="596">
        <v>41361</v>
      </c>
    </row>
    <row r="288" spans="1:15" ht="12.75">
      <c r="A288" s="590">
        <v>2013</v>
      </c>
      <c r="B288" s="591" t="s">
        <v>481</v>
      </c>
      <c r="C288" s="591" t="s">
        <v>482</v>
      </c>
      <c r="D288" s="592">
        <v>1021011</v>
      </c>
      <c r="E288" s="592">
        <v>1</v>
      </c>
      <c r="F288" s="592"/>
      <c r="G288" s="592">
        <v>450</v>
      </c>
      <c r="H288" s="592">
        <v>9.1</v>
      </c>
      <c r="I288" s="592" t="s">
        <v>493</v>
      </c>
      <c r="J288" s="592" t="s">
        <v>417</v>
      </c>
      <c r="K288" s="593" t="b">
        <f>TRUE</f>
        <v>1</v>
      </c>
      <c r="L288" s="594">
        <v>2018</v>
      </c>
      <c r="M288" s="595">
        <v>0.0751</v>
      </c>
      <c r="N288" s="596">
        <v>41361</v>
      </c>
      <c r="O288" s="596">
        <v>41361</v>
      </c>
    </row>
    <row r="289" spans="1:15" ht="12.75">
      <c r="A289" s="590">
        <v>2013</v>
      </c>
      <c r="B289" s="591" t="s">
        <v>481</v>
      </c>
      <c r="C289" s="591" t="s">
        <v>482</v>
      </c>
      <c r="D289" s="592">
        <v>1021011</v>
      </c>
      <c r="E289" s="592">
        <v>1</v>
      </c>
      <c r="F289" s="592"/>
      <c r="G289" s="592">
        <v>450</v>
      </c>
      <c r="H289" s="592">
        <v>9.1</v>
      </c>
      <c r="I289" s="592" t="s">
        <v>493</v>
      </c>
      <c r="J289" s="592" t="s">
        <v>417</v>
      </c>
      <c r="K289" s="593" t="b">
        <f>TRUE</f>
        <v>1</v>
      </c>
      <c r="L289" s="594">
        <v>2019</v>
      </c>
      <c r="M289" s="595">
        <v>0.0691</v>
      </c>
      <c r="N289" s="596">
        <v>41361</v>
      </c>
      <c r="O289" s="596">
        <v>41361</v>
      </c>
    </row>
    <row r="290" spans="1:15" ht="12.75">
      <c r="A290" s="590">
        <v>2013</v>
      </c>
      <c r="B290" s="591" t="s">
        <v>481</v>
      </c>
      <c r="C290" s="591" t="s">
        <v>482</v>
      </c>
      <c r="D290" s="592">
        <v>1021011</v>
      </c>
      <c r="E290" s="592">
        <v>1</v>
      </c>
      <c r="F290" s="592"/>
      <c r="G290" s="592">
        <v>450</v>
      </c>
      <c r="H290" s="592">
        <v>9.1</v>
      </c>
      <c r="I290" s="592" t="s">
        <v>493</v>
      </c>
      <c r="J290" s="592" t="s">
        <v>417</v>
      </c>
      <c r="K290" s="593" t="b">
        <f>TRUE</f>
        <v>1</v>
      </c>
      <c r="L290" s="594">
        <v>2020</v>
      </c>
      <c r="M290" s="595">
        <v>0.0672</v>
      </c>
      <c r="N290" s="596">
        <v>41361</v>
      </c>
      <c r="O290" s="596">
        <v>41361</v>
      </c>
    </row>
    <row r="291" spans="1:15" ht="12.75">
      <c r="A291" s="590">
        <v>2013</v>
      </c>
      <c r="B291" s="591" t="s">
        <v>481</v>
      </c>
      <c r="C291" s="591" t="s">
        <v>482</v>
      </c>
      <c r="D291" s="592">
        <v>1021011</v>
      </c>
      <c r="E291" s="592">
        <v>1</v>
      </c>
      <c r="F291" s="592"/>
      <c r="G291" s="592">
        <v>450</v>
      </c>
      <c r="H291" s="592">
        <v>9.1</v>
      </c>
      <c r="I291" s="592" t="s">
        <v>493</v>
      </c>
      <c r="J291" s="592" t="s">
        <v>417</v>
      </c>
      <c r="K291" s="593" t="b">
        <f>TRUE</f>
        <v>1</v>
      </c>
      <c r="L291" s="594">
        <v>2021</v>
      </c>
      <c r="M291" s="595">
        <v>0.0356</v>
      </c>
      <c r="N291" s="596">
        <v>41361</v>
      </c>
      <c r="O291" s="596">
        <v>41361</v>
      </c>
    </row>
    <row r="292" spans="1:15" ht="12.75">
      <c r="A292" s="590">
        <v>2013</v>
      </c>
      <c r="B292" s="591" t="s">
        <v>481</v>
      </c>
      <c r="C292" s="591" t="s">
        <v>482</v>
      </c>
      <c r="D292" s="592">
        <v>1021011</v>
      </c>
      <c r="E292" s="592">
        <v>1</v>
      </c>
      <c r="F292" s="592"/>
      <c r="G292" s="592">
        <v>450</v>
      </c>
      <c r="H292" s="592">
        <v>9.1</v>
      </c>
      <c r="I292" s="592" t="s">
        <v>493</v>
      </c>
      <c r="J292" s="592" t="s">
        <v>417</v>
      </c>
      <c r="K292" s="593" t="b">
        <f>TRUE</f>
        <v>1</v>
      </c>
      <c r="L292" s="594">
        <v>2022</v>
      </c>
      <c r="M292" s="595">
        <v>0.034</v>
      </c>
      <c r="N292" s="596">
        <v>41361</v>
      </c>
      <c r="O292" s="596">
        <v>41361</v>
      </c>
    </row>
    <row r="293" spans="1:15" ht="12.75">
      <c r="A293" s="590">
        <v>2013</v>
      </c>
      <c r="B293" s="591" t="s">
        <v>481</v>
      </c>
      <c r="C293" s="591" t="s">
        <v>482</v>
      </c>
      <c r="D293" s="592">
        <v>1021011</v>
      </c>
      <c r="E293" s="592">
        <v>1</v>
      </c>
      <c r="F293" s="592"/>
      <c r="G293" s="592">
        <v>450</v>
      </c>
      <c r="H293" s="592">
        <v>9.1</v>
      </c>
      <c r="I293" s="592" t="s">
        <v>493</v>
      </c>
      <c r="J293" s="592" t="s">
        <v>417</v>
      </c>
      <c r="K293" s="593" t="b">
        <f>TRUE</f>
        <v>1</v>
      </c>
      <c r="L293" s="594">
        <v>2023</v>
      </c>
      <c r="M293" s="595">
        <v>0.0017</v>
      </c>
      <c r="N293" s="596">
        <v>41361</v>
      </c>
      <c r="O293" s="596">
        <v>41361</v>
      </c>
    </row>
    <row r="294" spans="1:15" ht="12.75">
      <c r="A294" s="590">
        <v>2013</v>
      </c>
      <c r="B294" s="591" t="s">
        <v>481</v>
      </c>
      <c r="C294" s="591" t="s">
        <v>482</v>
      </c>
      <c r="D294" s="592">
        <v>1021011</v>
      </c>
      <c r="E294" s="592">
        <v>1</v>
      </c>
      <c r="F294" s="592"/>
      <c r="G294" s="592">
        <v>450</v>
      </c>
      <c r="H294" s="592">
        <v>9.1</v>
      </c>
      <c r="I294" s="592" t="s">
        <v>493</v>
      </c>
      <c r="J294" s="592" t="s">
        <v>417</v>
      </c>
      <c r="K294" s="593" t="b">
        <f>TRUE</f>
        <v>1</v>
      </c>
      <c r="L294" s="594">
        <v>2024</v>
      </c>
      <c r="M294" s="595">
        <v>0.0017</v>
      </c>
      <c r="N294" s="596">
        <v>41361</v>
      </c>
      <c r="O294" s="596">
        <v>41361</v>
      </c>
    </row>
    <row r="295" spans="1:15" ht="12.75">
      <c r="A295" s="590">
        <v>2013</v>
      </c>
      <c r="B295" s="591" t="s">
        <v>481</v>
      </c>
      <c r="C295" s="591" t="s">
        <v>482</v>
      </c>
      <c r="D295" s="592">
        <v>1021011</v>
      </c>
      <c r="E295" s="592">
        <v>1</v>
      </c>
      <c r="F295" s="592"/>
      <c r="G295" s="592">
        <v>450</v>
      </c>
      <c r="H295" s="592">
        <v>9.1</v>
      </c>
      <c r="I295" s="592" t="s">
        <v>493</v>
      </c>
      <c r="J295" s="592" t="s">
        <v>417</v>
      </c>
      <c r="K295" s="593" t="b">
        <f>TRUE</f>
        <v>1</v>
      </c>
      <c r="L295" s="594">
        <v>2025</v>
      </c>
      <c r="M295" s="595">
        <v>0.0016</v>
      </c>
      <c r="N295" s="596">
        <v>41361</v>
      </c>
      <c r="O295" s="596">
        <v>41361</v>
      </c>
    </row>
    <row r="296" spans="1:15" ht="12.75">
      <c r="A296" s="590">
        <v>2013</v>
      </c>
      <c r="B296" s="591" t="s">
        <v>481</v>
      </c>
      <c r="C296" s="591" t="s">
        <v>482</v>
      </c>
      <c r="D296" s="592">
        <v>1021011</v>
      </c>
      <c r="E296" s="592">
        <v>1</v>
      </c>
      <c r="F296" s="592"/>
      <c r="G296" s="592">
        <v>450</v>
      </c>
      <c r="H296" s="592">
        <v>9.1</v>
      </c>
      <c r="I296" s="592" t="s">
        <v>493</v>
      </c>
      <c r="J296" s="592" t="s">
        <v>417</v>
      </c>
      <c r="K296" s="593" t="b">
        <f>TRUE</f>
        <v>1</v>
      </c>
      <c r="L296" s="594">
        <v>2026</v>
      </c>
      <c r="M296" s="595">
        <v>0.0016</v>
      </c>
      <c r="N296" s="596">
        <v>41361</v>
      </c>
      <c r="O296" s="596">
        <v>41361</v>
      </c>
    </row>
    <row r="297" spans="1:15" ht="12.75">
      <c r="A297" s="590">
        <v>2013</v>
      </c>
      <c r="B297" s="591" t="s">
        <v>481</v>
      </c>
      <c r="C297" s="591" t="s">
        <v>482</v>
      </c>
      <c r="D297" s="592">
        <v>1021011</v>
      </c>
      <c r="E297" s="592">
        <v>1</v>
      </c>
      <c r="F297" s="592"/>
      <c r="G297" s="592">
        <v>450</v>
      </c>
      <c r="H297" s="592">
        <v>9.1</v>
      </c>
      <c r="I297" s="592" t="s">
        <v>493</v>
      </c>
      <c r="J297" s="592" t="s">
        <v>417</v>
      </c>
      <c r="K297" s="593" t="b">
        <f>TRUE</f>
        <v>1</v>
      </c>
      <c r="L297" s="594">
        <v>2027</v>
      </c>
      <c r="M297" s="595">
        <v>0.0016</v>
      </c>
      <c r="N297" s="596">
        <v>41361</v>
      </c>
      <c r="O297" s="596">
        <v>41361</v>
      </c>
    </row>
    <row r="298" spans="1:15" ht="12.75">
      <c r="A298" s="590">
        <v>2013</v>
      </c>
      <c r="B298" s="591" t="s">
        <v>481</v>
      </c>
      <c r="C298" s="591" t="s">
        <v>482</v>
      </c>
      <c r="D298" s="592">
        <v>1021011</v>
      </c>
      <c r="E298" s="592">
        <v>1</v>
      </c>
      <c r="F298" s="592"/>
      <c r="G298" s="592">
        <v>450</v>
      </c>
      <c r="H298" s="592">
        <v>9.1</v>
      </c>
      <c r="I298" s="592" t="s">
        <v>493</v>
      </c>
      <c r="J298" s="592" t="s">
        <v>417</v>
      </c>
      <c r="K298" s="593" t="b">
        <f>TRUE</f>
        <v>1</v>
      </c>
      <c r="L298" s="594">
        <v>2028</v>
      </c>
      <c r="M298" s="595">
        <v>0.0016</v>
      </c>
      <c r="N298" s="596">
        <v>41361</v>
      </c>
      <c r="O298" s="596">
        <v>41361</v>
      </c>
    </row>
    <row r="299" spans="1:15" ht="12.75">
      <c r="A299" s="590">
        <v>2013</v>
      </c>
      <c r="B299" s="591" t="s">
        <v>481</v>
      </c>
      <c r="C299" s="591" t="s">
        <v>482</v>
      </c>
      <c r="D299" s="592">
        <v>1021011</v>
      </c>
      <c r="E299" s="592">
        <v>1</v>
      </c>
      <c r="F299" s="592"/>
      <c r="G299" s="592">
        <v>190</v>
      </c>
      <c r="H299" s="592">
        <v>2.2</v>
      </c>
      <c r="I299" s="592"/>
      <c r="J299" s="592" t="s">
        <v>399</v>
      </c>
      <c r="K299" s="593" t="b">
        <f>FALSE</f>
        <v>0</v>
      </c>
      <c r="L299" s="594">
        <v>2024</v>
      </c>
      <c r="M299" s="595">
        <v>4500000</v>
      </c>
      <c r="N299" s="596">
        <v>41361</v>
      </c>
      <c r="O299" s="596">
        <v>41361</v>
      </c>
    </row>
    <row r="300" spans="1:15" ht="12.75">
      <c r="A300" s="590">
        <v>2013</v>
      </c>
      <c r="B300" s="591" t="s">
        <v>481</v>
      </c>
      <c r="C300" s="591" t="s">
        <v>482</v>
      </c>
      <c r="D300" s="592">
        <v>1021011</v>
      </c>
      <c r="E300" s="592">
        <v>1</v>
      </c>
      <c r="F300" s="592"/>
      <c r="G300" s="592">
        <v>190</v>
      </c>
      <c r="H300" s="592">
        <v>2.2</v>
      </c>
      <c r="I300" s="592"/>
      <c r="J300" s="592" t="s">
        <v>399</v>
      </c>
      <c r="K300" s="593" t="b">
        <f>FALSE</f>
        <v>0</v>
      </c>
      <c r="L300" s="594">
        <v>2025</v>
      </c>
      <c r="M300" s="595">
        <v>4500000</v>
      </c>
      <c r="N300" s="596">
        <v>41361</v>
      </c>
      <c r="O300" s="596">
        <v>41361</v>
      </c>
    </row>
    <row r="301" spans="1:15" ht="12.75">
      <c r="A301" s="590">
        <v>2013</v>
      </c>
      <c r="B301" s="591" t="s">
        <v>481</v>
      </c>
      <c r="C301" s="591" t="s">
        <v>482</v>
      </c>
      <c r="D301" s="592">
        <v>1021011</v>
      </c>
      <c r="E301" s="592">
        <v>1</v>
      </c>
      <c r="F301" s="592"/>
      <c r="G301" s="592">
        <v>450</v>
      </c>
      <c r="H301" s="592">
        <v>9.1</v>
      </c>
      <c r="I301" s="592" t="s">
        <v>493</v>
      </c>
      <c r="J301" s="592" t="s">
        <v>417</v>
      </c>
      <c r="K301" s="593" t="b">
        <f>TRUE</f>
        <v>1</v>
      </c>
      <c r="L301" s="594">
        <v>2029</v>
      </c>
      <c r="M301" s="595">
        <v>0.0017</v>
      </c>
      <c r="N301" s="596">
        <v>41361</v>
      </c>
      <c r="O301" s="596">
        <v>41361</v>
      </c>
    </row>
    <row r="302" spans="1:15" ht="12.75">
      <c r="A302" s="590">
        <v>2013</v>
      </c>
      <c r="B302" s="591" t="s">
        <v>481</v>
      </c>
      <c r="C302" s="591" t="s">
        <v>482</v>
      </c>
      <c r="D302" s="592">
        <v>1021011</v>
      </c>
      <c r="E302" s="592">
        <v>1</v>
      </c>
      <c r="F302" s="592"/>
      <c r="G302" s="592">
        <v>600</v>
      </c>
      <c r="H302" s="592">
        <v>11.3</v>
      </c>
      <c r="I302" s="592" t="s">
        <v>494</v>
      </c>
      <c r="J302" s="592" t="s">
        <v>431</v>
      </c>
      <c r="K302" s="593" t="b">
        <f>TRUE</f>
        <v>1</v>
      </c>
      <c r="L302" s="594">
        <v>2013</v>
      </c>
      <c r="M302" s="595">
        <v>2856092.26</v>
      </c>
      <c r="N302" s="596">
        <v>41361</v>
      </c>
      <c r="O302" s="596">
        <v>41361</v>
      </c>
    </row>
    <row r="303" spans="1:15" ht="12.75">
      <c r="A303" s="590">
        <v>2013</v>
      </c>
      <c r="B303" s="591" t="s">
        <v>481</v>
      </c>
      <c r="C303" s="591" t="s">
        <v>482</v>
      </c>
      <c r="D303" s="592">
        <v>1021011</v>
      </c>
      <c r="E303" s="592">
        <v>1</v>
      </c>
      <c r="F303" s="592"/>
      <c r="G303" s="592">
        <v>600</v>
      </c>
      <c r="H303" s="592">
        <v>11.3</v>
      </c>
      <c r="I303" s="592" t="s">
        <v>494</v>
      </c>
      <c r="J303" s="592" t="s">
        <v>431</v>
      </c>
      <c r="K303" s="593" t="b">
        <f>TRUE</f>
        <v>1</v>
      </c>
      <c r="L303" s="594">
        <v>2014</v>
      </c>
      <c r="M303" s="595">
        <v>1177610.38</v>
      </c>
      <c r="N303" s="596">
        <v>41361</v>
      </c>
      <c r="O303" s="596">
        <v>41361</v>
      </c>
    </row>
    <row r="304" spans="1:15" ht="12.75">
      <c r="A304" s="590">
        <v>2013</v>
      </c>
      <c r="B304" s="591" t="s">
        <v>481</v>
      </c>
      <c r="C304" s="591" t="s">
        <v>482</v>
      </c>
      <c r="D304" s="592">
        <v>1021011</v>
      </c>
      <c r="E304" s="592">
        <v>1</v>
      </c>
      <c r="F304" s="592"/>
      <c r="G304" s="592">
        <v>600</v>
      </c>
      <c r="H304" s="592">
        <v>11.3</v>
      </c>
      <c r="I304" s="592" t="s">
        <v>494</v>
      </c>
      <c r="J304" s="592" t="s">
        <v>431</v>
      </c>
      <c r="K304" s="593" t="b">
        <f>TRUE</f>
        <v>1</v>
      </c>
      <c r="L304" s="594">
        <v>2015</v>
      </c>
      <c r="M304" s="595">
        <v>179052.82</v>
      </c>
      <c r="N304" s="596">
        <v>41361</v>
      </c>
      <c r="O304" s="596">
        <v>41361</v>
      </c>
    </row>
    <row r="305" spans="1:15" ht="12.75">
      <c r="A305" s="590">
        <v>2013</v>
      </c>
      <c r="B305" s="591" t="s">
        <v>481</v>
      </c>
      <c r="C305" s="591" t="s">
        <v>482</v>
      </c>
      <c r="D305" s="592">
        <v>1021011</v>
      </c>
      <c r="E305" s="592">
        <v>1</v>
      </c>
      <c r="F305" s="592"/>
      <c r="G305" s="592">
        <v>600</v>
      </c>
      <c r="H305" s="592">
        <v>11.3</v>
      </c>
      <c r="I305" s="592" t="s">
        <v>494</v>
      </c>
      <c r="J305" s="592" t="s">
        <v>431</v>
      </c>
      <c r="K305" s="593" t="b">
        <f>TRUE</f>
        <v>1</v>
      </c>
      <c r="L305" s="594">
        <v>2016</v>
      </c>
      <c r="M305" s="595">
        <v>56</v>
      </c>
      <c r="N305" s="596">
        <v>41361</v>
      </c>
      <c r="O305" s="596">
        <v>41361</v>
      </c>
    </row>
    <row r="306" spans="1:15" ht="12.75">
      <c r="A306" s="590">
        <v>2013</v>
      </c>
      <c r="B306" s="591" t="s">
        <v>481</v>
      </c>
      <c r="C306" s="591" t="s">
        <v>482</v>
      </c>
      <c r="D306" s="592">
        <v>1021011</v>
      </c>
      <c r="E306" s="592">
        <v>1</v>
      </c>
      <c r="F306" s="592"/>
      <c r="G306" s="592">
        <v>600</v>
      </c>
      <c r="H306" s="592">
        <v>11.3</v>
      </c>
      <c r="I306" s="592" t="s">
        <v>494</v>
      </c>
      <c r="J306" s="592" t="s">
        <v>431</v>
      </c>
      <c r="K306" s="593" t="b">
        <f>TRUE</f>
        <v>1</v>
      </c>
      <c r="L306" s="594">
        <v>2017</v>
      </c>
      <c r="M306" s="595">
        <v>56</v>
      </c>
      <c r="N306" s="596">
        <v>41361</v>
      </c>
      <c r="O306" s="596">
        <v>41361</v>
      </c>
    </row>
    <row r="307" spans="1:15" ht="12.75">
      <c r="A307" s="590">
        <v>2013</v>
      </c>
      <c r="B307" s="591" t="s">
        <v>481</v>
      </c>
      <c r="C307" s="591" t="s">
        <v>482</v>
      </c>
      <c r="D307" s="592">
        <v>1021011</v>
      </c>
      <c r="E307" s="592">
        <v>1</v>
      </c>
      <c r="F307" s="592"/>
      <c r="G307" s="592">
        <v>600</v>
      </c>
      <c r="H307" s="592">
        <v>11.3</v>
      </c>
      <c r="I307" s="592" t="s">
        <v>494</v>
      </c>
      <c r="J307" s="592" t="s">
        <v>431</v>
      </c>
      <c r="K307" s="593" t="b">
        <f>TRUE</f>
        <v>1</v>
      </c>
      <c r="L307" s="594">
        <v>2018</v>
      </c>
      <c r="M307" s="595">
        <v>56</v>
      </c>
      <c r="N307" s="596">
        <v>41361</v>
      </c>
      <c r="O307" s="596">
        <v>41361</v>
      </c>
    </row>
    <row r="308" spans="1:15" ht="12.75">
      <c r="A308" s="590">
        <v>2013</v>
      </c>
      <c r="B308" s="591" t="s">
        <v>481</v>
      </c>
      <c r="C308" s="591" t="s">
        <v>482</v>
      </c>
      <c r="D308" s="592">
        <v>1021011</v>
      </c>
      <c r="E308" s="592">
        <v>1</v>
      </c>
      <c r="F308" s="592"/>
      <c r="G308" s="592">
        <v>600</v>
      </c>
      <c r="H308" s="592">
        <v>11.3</v>
      </c>
      <c r="I308" s="592" t="s">
        <v>494</v>
      </c>
      <c r="J308" s="592" t="s">
        <v>431</v>
      </c>
      <c r="K308" s="593" t="b">
        <f>TRUE</f>
        <v>1</v>
      </c>
      <c r="L308" s="594">
        <v>2019</v>
      </c>
      <c r="M308" s="595">
        <v>56</v>
      </c>
      <c r="N308" s="596">
        <v>41361</v>
      </c>
      <c r="O308" s="596">
        <v>41361</v>
      </c>
    </row>
    <row r="309" spans="1:15" ht="12.75">
      <c r="A309" s="590">
        <v>2013</v>
      </c>
      <c r="B309" s="591" t="s">
        <v>481</v>
      </c>
      <c r="C309" s="591" t="s">
        <v>482</v>
      </c>
      <c r="D309" s="592">
        <v>1021011</v>
      </c>
      <c r="E309" s="592">
        <v>1</v>
      </c>
      <c r="F309" s="592"/>
      <c r="G309" s="592">
        <v>600</v>
      </c>
      <c r="H309" s="592">
        <v>11.3</v>
      </c>
      <c r="I309" s="592" t="s">
        <v>494</v>
      </c>
      <c r="J309" s="592" t="s">
        <v>431</v>
      </c>
      <c r="K309" s="593" t="b">
        <f>TRUE</f>
        <v>1</v>
      </c>
      <c r="L309" s="594">
        <v>2020</v>
      </c>
      <c r="M309" s="595">
        <v>20</v>
      </c>
      <c r="N309" s="596">
        <v>41361</v>
      </c>
      <c r="O309" s="596">
        <v>41361</v>
      </c>
    </row>
    <row r="310" spans="1:15" ht="12.75">
      <c r="A310" s="590">
        <v>2013</v>
      </c>
      <c r="B310" s="591" t="s">
        <v>481</v>
      </c>
      <c r="C310" s="591" t="s">
        <v>482</v>
      </c>
      <c r="D310" s="592">
        <v>1021011</v>
      </c>
      <c r="E310" s="592">
        <v>1</v>
      </c>
      <c r="F310" s="592"/>
      <c r="G310" s="592">
        <v>120</v>
      </c>
      <c r="H310" s="592">
        <v>2</v>
      </c>
      <c r="I310" s="592" t="s">
        <v>495</v>
      </c>
      <c r="J310" s="592" t="s">
        <v>30</v>
      </c>
      <c r="K310" s="593" t="b">
        <f>FALSE</f>
        <v>0</v>
      </c>
      <c r="L310" s="594">
        <v>2013</v>
      </c>
      <c r="M310" s="595">
        <v>34550862.44</v>
      </c>
      <c r="N310" s="596">
        <v>41361</v>
      </c>
      <c r="O310" s="596">
        <v>41361</v>
      </c>
    </row>
    <row r="311" spans="1:15" ht="12.75">
      <c r="A311" s="590">
        <v>2013</v>
      </c>
      <c r="B311" s="591" t="s">
        <v>481</v>
      </c>
      <c r="C311" s="591" t="s">
        <v>482</v>
      </c>
      <c r="D311" s="592">
        <v>1021011</v>
      </c>
      <c r="E311" s="592">
        <v>1</v>
      </c>
      <c r="F311" s="592"/>
      <c r="G311" s="592">
        <v>120</v>
      </c>
      <c r="H311" s="592">
        <v>2</v>
      </c>
      <c r="I311" s="592" t="s">
        <v>495</v>
      </c>
      <c r="J311" s="592" t="s">
        <v>30</v>
      </c>
      <c r="K311" s="593" t="b">
        <f>FALSE</f>
        <v>0</v>
      </c>
      <c r="L311" s="594">
        <v>2014</v>
      </c>
      <c r="M311" s="595">
        <v>29422594.71</v>
      </c>
      <c r="N311" s="596">
        <v>41361</v>
      </c>
      <c r="O311" s="596">
        <v>41361</v>
      </c>
    </row>
    <row r="312" spans="1:15" ht="12.75">
      <c r="A312" s="590">
        <v>2013</v>
      </c>
      <c r="B312" s="591" t="s">
        <v>481</v>
      </c>
      <c r="C312" s="591" t="s">
        <v>482</v>
      </c>
      <c r="D312" s="592">
        <v>1021011</v>
      </c>
      <c r="E312" s="592">
        <v>1</v>
      </c>
      <c r="F312" s="592"/>
      <c r="G312" s="592">
        <v>120</v>
      </c>
      <c r="H312" s="592">
        <v>2</v>
      </c>
      <c r="I312" s="592" t="s">
        <v>495</v>
      </c>
      <c r="J312" s="592" t="s">
        <v>30</v>
      </c>
      <c r="K312" s="593" t="b">
        <f>FALSE</f>
        <v>0</v>
      </c>
      <c r="L312" s="594">
        <v>2015</v>
      </c>
      <c r="M312" s="595">
        <v>29150000</v>
      </c>
      <c r="N312" s="596">
        <v>41361</v>
      </c>
      <c r="O312" s="596">
        <v>41361</v>
      </c>
    </row>
    <row r="313" spans="1:15" ht="12.75">
      <c r="A313" s="590">
        <v>2013</v>
      </c>
      <c r="B313" s="591" t="s">
        <v>481</v>
      </c>
      <c r="C313" s="591" t="s">
        <v>482</v>
      </c>
      <c r="D313" s="592">
        <v>1021011</v>
      </c>
      <c r="E313" s="592">
        <v>1</v>
      </c>
      <c r="F313" s="592"/>
      <c r="G313" s="592">
        <v>120</v>
      </c>
      <c r="H313" s="592">
        <v>2</v>
      </c>
      <c r="I313" s="592" t="s">
        <v>495</v>
      </c>
      <c r="J313" s="592" t="s">
        <v>30</v>
      </c>
      <c r="K313" s="593" t="b">
        <f>FALSE</f>
        <v>0</v>
      </c>
      <c r="L313" s="594">
        <v>2016</v>
      </c>
      <c r="M313" s="595">
        <v>29500000</v>
      </c>
      <c r="N313" s="596">
        <v>41361</v>
      </c>
      <c r="O313" s="596">
        <v>41361</v>
      </c>
    </row>
    <row r="314" spans="1:15" ht="12.75">
      <c r="A314" s="590">
        <v>2013</v>
      </c>
      <c r="B314" s="591" t="s">
        <v>481</v>
      </c>
      <c r="C314" s="591" t="s">
        <v>482</v>
      </c>
      <c r="D314" s="592">
        <v>1021011</v>
      </c>
      <c r="E314" s="592">
        <v>1</v>
      </c>
      <c r="F314" s="592"/>
      <c r="G314" s="592">
        <v>120</v>
      </c>
      <c r="H314" s="592">
        <v>2</v>
      </c>
      <c r="I314" s="592" t="s">
        <v>495</v>
      </c>
      <c r="J314" s="592" t="s">
        <v>30</v>
      </c>
      <c r="K314" s="593" t="b">
        <f>FALSE</f>
        <v>0</v>
      </c>
      <c r="L314" s="594">
        <v>2017</v>
      </c>
      <c r="M314" s="595">
        <v>29800000</v>
      </c>
      <c r="N314" s="596">
        <v>41361</v>
      </c>
      <c r="O314" s="596">
        <v>41361</v>
      </c>
    </row>
    <row r="315" spans="1:15" ht="12.75">
      <c r="A315" s="590">
        <v>2013</v>
      </c>
      <c r="B315" s="591" t="s">
        <v>481</v>
      </c>
      <c r="C315" s="591" t="s">
        <v>482</v>
      </c>
      <c r="D315" s="592">
        <v>1021011</v>
      </c>
      <c r="E315" s="592">
        <v>1</v>
      </c>
      <c r="F315" s="592"/>
      <c r="G315" s="592">
        <v>120</v>
      </c>
      <c r="H315" s="592">
        <v>2</v>
      </c>
      <c r="I315" s="592" t="s">
        <v>495</v>
      </c>
      <c r="J315" s="592" t="s">
        <v>30</v>
      </c>
      <c r="K315" s="593" t="b">
        <f>FALSE</f>
        <v>0</v>
      </c>
      <c r="L315" s="594">
        <v>2018</v>
      </c>
      <c r="M315" s="595">
        <v>30400000</v>
      </c>
      <c r="N315" s="596">
        <v>41361</v>
      </c>
      <c r="O315" s="596">
        <v>41361</v>
      </c>
    </row>
    <row r="316" spans="1:15" ht="12.75">
      <c r="A316" s="590">
        <v>2013</v>
      </c>
      <c r="B316" s="591" t="s">
        <v>481</v>
      </c>
      <c r="C316" s="591" t="s">
        <v>482</v>
      </c>
      <c r="D316" s="592">
        <v>1021011</v>
      </c>
      <c r="E316" s="592">
        <v>1</v>
      </c>
      <c r="F316" s="592"/>
      <c r="G316" s="592">
        <v>120</v>
      </c>
      <c r="H316" s="592">
        <v>2</v>
      </c>
      <c r="I316" s="592" t="s">
        <v>495</v>
      </c>
      <c r="J316" s="592" t="s">
        <v>30</v>
      </c>
      <c r="K316" s="593" t="b">
        <f>FALSE</f>
        <v>0</v>
      </c>
      <c r="L316" s="594">
        <v>2019</v>
      </c>
      <c r="M316" s="595">
        <v>31000000</v>
      </c>
      <c r="N316" s="596">
        <v>41361</v>
      </c>
      <c r="O316" s="596">
        <v>41361</v>
      </c>
    </row>
    <row r="317" spans="1:15" ht="12.75">
      <c r="A317" s="590">
        <v>2013</v>
      </c>
      <c r="B317" s="591" t="s">
        <v>481</v>
      </c>
      <c r="C317" s="591" t="s">
        <v>482</v>
      </c>
      <c r="D317" s="592">
        <v>1021011</v>
      </c>
      <c r="E317" s="592">
        <v>1</v>
      </c>
      <c r="F317" s="592"/>
      <c r="G317" s="592">
        <v>120</v>
      </c>
      <c r="H317" s="592">
        <v>2</v>
      </c>
      <c r="I317" s="592" t="s">
        <v>495</v>
      </c>
      <c r="J317" s="592" t="s">
        <v>30</v>
      </c>
      <c r="K317" s="593" t="b">
        <f>FALSE</f>
        <v>0</v>
      </c>
      <c r="L317" s="594">
        <v>2020</v>
      </c>
      <c r="M317" s="595">
        <v>31500000</v>
      </c>
      <c r="N317" s="596">
        <v>41361</v>
      </c>
      <c r="O317" s="596">
        <v>41361</v>
      </c>
    </row>
    <row r="318" spans="1:15" ht="12.75">
      <c r="A318" s="590">
        <v>2013</v>
      </c>
      <c r="B318" s="591" t="s">
        <v>481</v>
      </c>
      <c r="C318" s="591" t="s">
        <v>482</v>
      </c>
      <c r="D318" s="592">
        <v>1021011</v>
      </c>
      <c r="E318" s="592">
        <v>1</v>
      </c>
      <c r="F318" s="592"/>
      <c r="G318" s="592">
        <v>120</v>
      </c>
      <c r="H318" s="592">
        <v>2</v>
      </c>
      <c r="I318" s="592" t="s">
        <v>495</v>
      </c>
      <c r="J318" s="592" t="s">
        <v>30</v>
      </c>
      <c r="K318" s="593" t="b">
        <f>FALSE</f>
        <v>0</v>
      </c>
      <c r="L318" s="594">
        <v>2021</v>
      </c>
      <c r="M318" s="595">
        <v>33000000</v>
      </c>
      <c r="N318" s="596">
        <v>41361</v>
      </c>
      <c r="O318" s="596">
        <v>41361</v>
      </c>
    </row>
    <row r="319" spans="1:15" ht="12.75">
      <c r="A319" s="590">
        <v>2013</v>
      </c>
      <c r="B319" s="591" t="s">
        <v>481</v>
      </c>
      <c r="C319" s="591" t="s">
        <v>482</v>
      </c>
      <c r="D319" s="592">
        <v>1021011</v>
      </c>
      <c r="E319" s="592">
        <v>1</v>
      </c>
      <c r="F319" s="592"/>
      <c r="G319" s="592">
        <v>120</v>
      </c>
      <c r="H319" s="592">
        <v>2</v>
      </c>
      <c r="I319" s="592" t="s">
        <v>495</v>
      </c>
      <c r="J319" s="592" t="s">
        <v>30</v>
      </c>
      <c r="K319" s="593" t="b">
        <f>FALSE</f>
        <v>0</v>
      </c>
      <c r="L319" s="594">
        <v>2022</v>
      </c>
      <c r="M319" s="595">
        <v>33446631.84</v>
      </c>
      <c r="N319" s="596">
        <v>41361</v>
      </c>
      <c r="O319" s="596">
        <v>41361</v>
      </c>
    </row>
    <row r="320" spans="1:15" ht="12.75">
      <c r="A320" s="590">
        <v>2013</v>
      </c>
      <c r="B320" s="591" t="s">
        <v>481</v>
      </c>
      <c r="C320" s="591" t="s">
        <v>482</v>
      </c>
      <c r="D320" s="592">
        <v>1021011</v>
      </c>
      <c r="E320" s="592">
        <v>1</v>
      </c>
      <c r="F320" s="592"/>
      <c r="G320" s="592">
        <v>120</v>
      </c>
      <c r="H320" s="592">
        <v>2</v>
      </c>
      <c r="I320" s="592" t="s">
        <v>495</v>
      </c>
      <c r="J320" s="592" t="s">
        <v>30</v>
      </c>
      <c r="K320" s="593" t="b">
        <f>FALSE</f>
        <v>0</v>
      </c>
      <c r="L320" s="594">
        <v>2023</v>
      </c>
      <c r="M320" s="595">
        <v>35000000</v>
      </c>
      <c r="N320" s="596">
        <v>41361</v>
      </c>
      <c r="O320" s="596">
        <v>41361</v>
      </c>
    </row>
    <row r="321" spans="1:15" ht="12.75">
      <c r="A321" s="590">
        <v>2013</v>
      </c>
      <c r="B321" s="591" t="s">
        <v>481</v>
      </c>
      <c r="C321" s="591" t="s">
        <v>482</v>
      </c>
      <c r="D321" s="592">
        <v>1021011</v>
      </c>
      <c r="E321" s="592">
        <v>1</v>
      </c>
      <c r="F321" s="592"/>
      <c r="G321" s="592">
        <v>120</v>
      </c>
      <c r="H321" s="592">
        <v>2</v>
      </c>
      <c r="I321" s="592" t="s">
        <v>495</v>
      </c>
      <c r="J321" s="592" t="s">
        <v>30</v>
      </c>
      <c r="K321" s="593" t="b">
        <f>FALSE</f>
        <v>0</v>
      </c>
      <c r="L321" s="594">
        <v>2024</v>
      </c>
      <c r="M321" s="595">
        <v>35500000</v>
      </c>
      <c r="N321" s="596">
        <v>41361</v>
      </c>
      <c r="O321" s="596">
        <v>41361</v>
      </c>
    </row>
    <row r="322" spans="1:15" ht="12.75">
      <c r="A322" s="590">
        <v>2013</v>
      </c>
      <c r="B322" s="591" t="s">
        <v>481</v>
      </c>
      <c r="C322" s="591" t="s">
        <v>482</v>
      </c>
      <c r="D322" s="592">
        <v>1021011</v>
      </c>
      <c r="E322" s="592">
        <v>1</v>
      </c>
      <c r="F322" s="592"/>
      <c r="G322" s="592">
        <v>120</v>
      </c>
      <c r="H322" s="592">
        <v>2</v>
      </c>
      <c r="I322" s="592" t="s">
        <v>495</v>
      </c>
      <c r="J322" s="592" t="s">
        <v>30</v>
      </c>
      <c r="K322" s="593" t="b">
        <f>FALSE</f>
        <v>0</v>
      </c>
      <c r="L322" s="594">
        <v>2025</v>
      </c>
      <c r="M322" s="595">
        <v>36000000</v>
      </c>
      <c r="N322" s="596">
        <v>41361</v>
      </c>
      <c r="O322" s="596">
        <v>41361</v>
      </c>
    </row>
    <row r="323" spans="1:15" ht="12.75">
      <c r="A323" s="590">
        <v>2013</v>
      </c>
      <c r="B323" s="591" t="s">
        <v>481</v>
      </c>
      <c r="C323" s="591" t="s">
        <v>482</v>
      </c>
      <c r="D323" s="592">
        <v>1021011</v>
      </c>
      <c r="E323" s="592">
        <v>1</v>
      </c>
      <c r="F323" s="592"/>
      <c r="G323" s="592">
        <v>120</v>
      </c>
      <c r="H323" s="592">
        <v>2</v>
      </c>
      <c r="I323" s="592" t="s">
        <v>495</v>
      </c>
      <c r="J323" s="592" t="s">
        <v>30</v>
      </c>
      <c r="K323" s="593" t="b">
        <f>FALSE</f>
        <v>0</v>
      </c>
      <c r="L323" s="594">
        <v>2026</v>
      </c>
      <c r="M323" s="595">
        <v>36500000</v>
      </c>
      <c r="N323" s="596">
        <v>41361</v>
      </c>
      <c r="O323" s="596">
        <v>41361</v>
      </c>
    </row>
    <row r="324" spans="1:15" ht="12.75">
      <c r="A324" s="590">
        <v>2013</v>
      </c>
      <c r="B324" s="591" t="s">
        <v>481</v>
      </c>
      <c r="C324" s="591" t="s">
        <v>482</v>
      </c>
      <c r="D324" s="592">
        <v>1021011</v>
      </c>
      <c r="E324" s="592">
        <v>1</v>
      </c>
      <c r="F324" s="592"/>
      <c r="G324" s="592">
        <v>120</v>
      </c>
      <c r="H324" s="592">
        <v>2</v>
      </c>
      <c r="I324" s="592" t="s">
        <v>495</v>
      </c>
      <c r="J324" s="592" t="s">
        <v>30</v>
      </c>
      <c r="K324" s="593" t="b">
        <f>FALSE</f>
        <v>0</v>
      </c>
      <c r="L324" s="594">
        <v>2027</v>
      </c>
      <c r="M324" s="595">
        <v>37000000</v>
      </c>
      <c r="N324" s="596">
        <v>41361</v>
      </c>
      <c r="O324" s="596">
        <v>41361</v>
      </c>
    </row>
    <row r="325" spans="1:15" ht="12.75">
      <c r="A325" s="590">
        <v>2013</v>
      </c>
      <c r="B325" s="591" t="s">
        <v>481</v>
      </c>
      <c r="C325" s="591" t="s">
        <v>482</v>
      </c>
      <c r="D325" s="592">
        <v>1021011</v>
      </c>
      <c r="E325" s="592">
        <v>1</v>
      </c>
      <c r="F325" s="592"/>
      <c r="G325" s="592">
        <v>120</v>
      </c>
      <c r="H325" s="592">
        <v>2</v>
      </c>
      <c r="I325" s="592" t="s">
        <v>495</v>
      </c>
      <c r="J325" s="592" t="s">
        <v>30</v>
      </c>
      <c r="K325" s="593" t="b">
        <f>FALSE</f>
        <v>0</v>
      </c>
      <c r="L325" s="594">
        <v>2028</v>
      </c>
      <c r="M325" s="595">
        <v>37500000</v>
      </c>
      <c r="N325" s="596">
        <v>41361</v>
      </c>
      <c r="O325" s="596">
        <v>41361</v>
      </c>
    </row>
    <row r="326" spans="1:15" ht="12.75">
      <c r="A326" s="590">
        <v>2013</v>
      </c>
      <c r="B326" s="591" t="s">
        <v>481</v>
      </c>
      <c r="C326" s="591" t="s">
        <v>482</v>
      </c>
      <c r="D326" s="592">
        <v>1021011</v>
      </c>
      <c r="E326" s="592">
        <v>1</v>
      </c>
      <c r="F326" s="592"/>
      <c r="G326" s="592">
        <v>120</v>
      </c>
      <c r="H326" s="592">
        <v>2</v>
      </c>
      <c r="I326" s="592" t="s">
        <v>495</v>
      </c>
      <c r="J326" s="592" t="s">
        <v>30</v>
      </c>
      <c r="K326" s="593" t="b">
        <f>FALSE</f>
        <v>0</v>
      </c>
      <c r="L326" s="594">
        <v>2029</v>
      </c>
      <c r="M326" s="595">
        <v>38000000</v>
      </c>
      <c r="N326" s="596">
        <v>41361</v>
      </c>
      <c r="O326" s="596">
        <v>41361</v>
      </c>
    </row>
    <row r="327" spans="1:15" ht="12.75">
      <c r="A327" s="590">
        <v>2013</v>
      </c>
      <c r="B327" s="591" t="s">
        <v>481</v>
      </c>
      <c r="C327" s="591" t="s">
        <v>482</v>
      </c>
      <c r="D327" s="592">
        <v>1021011</v>
      </c>
      <c r="E327" s="592">
        <v>1</v>
      </c>
      <c r="F327" s="592"/>
      <c r="G327" s="592">
        <v>430</v>
      </c>
      <c r="H327" s="592">
        <v>8.2</v>
      </c>
      <c r="I327" s="592" t="s">
        <v>496</v>
      </c>
      <c r="J327" s="592" t="s">
        <v>416</v>
      </c>
      <c r="K327" s="593" t="b">
        <f>FALSE</f>
        <v>0</v>
      </c>
      <c r="L327" s="594">
        <v>2013</v>
      </c>
      <c r="M327" s="595">
        <v>6228291.57</v>
      </c>
      <c r="N327" s="596">
        <v>41361</v>
      </c>
      <c r="O327" s="596">
        <v>41361</v>
      </c>
    </row>
    <row r="328" spans="1:15" ht="12.75">
      <c r="A328" s="590">
        <v>2013</v>
      </c>
      <c r="B328" s="591" t="s">
        <v>481</v>
      </c>
      <c r="C328" s="591" t="s">
        <v>482</v>
      </c>
      <c r="D328" s="592">
        <v>1021011</v>
      </c>
      <c r="E328" s="592">
        <v>1</v>
      </c>
      <c r="F328" s="592"/>
      <c r="G328" s="592">
        <v>430</v>
      </c>
      <c r="H328" s="592">
        <v>8.2</v>
      </c>
      <c r="I328" s="592" t="s">
        <v>496</v>
      </c>
      <c r="J328" s="592" t="s">
        <v>416</v>
      </c>
      <c r="K328" s="593" t="b">
        <f>FALSE</f>
        <v>0</v>
      </c>
      <c r="L328" s="594">
        <v>2014</v>
      </c>
      <c r="M328" s="595">
        <v>3843659.56</v>
      </c>
      <c r="N328" s="596">
        <v>41361</v>
      </c>
      <c r="O328" s="596">
        <v>41361</v>
      </c>
    </row>
    <row r="329" spans="1:15" ht="12.75">
      <c r="A329" s="590">
        <v>2013</v>
      </c>
      <c r="B329" s="591" t="s">
        <v>481</v>
      </c>
      <c r="C329" s="591" t="s">
        <v>482</v>
      </c>
      <c r="D329" s="592">
        <v>1021011</v>
      </c>
      <c r="E329" s="592">
        <v>1</v>
      </c>
      <c r="F329" s="592"/>
      <c r="G329" s="592">
        <v>430</v>
      </c>
      <c r="H329" s="592">
        <v>8.2</v>
      </c>
      <c r="I329" s="592" t="s">
        <v>496</v>
      </c>
      <c r="J329" s="592" t="s">
        <v>416</v>
      </c>
      <c r="K329" s="593" t="b">
        <f>FALSE</f>
        <v>0</v>
      </c>
      <c r="L329" s="594">
        <v>2015</v>
      </c>
      <c r="M329" s="595">
        <v>3850000</v>
      </c>
      <c r="N329" s="596">
        <v>41361</v>
      </c>
      <c r="O329" s="596">
        <v>41361</v>
      </c>
    </row>
    <row r="330" spans="1:15" ht="12.75">
      <c r="A330" s="590">
        <v>2013</v>
      </c>
      <c r="B330" s="591" t="s">
        <v>481</v>
      </c>
      <c r="C330" s="591" t="s">
        <v>482</v>
      </c>
      <c r="D330" s="592">
        <v>1021011</v>
      </c>
      <c r="E330" s="592">
        <v>1</v>
      </c>
      <c r="F330" s="592"/>
      <c r="G330" s="592">
        <v>430</v>
      </c>
      <c r="H330" s="592">
        <v>8.2</v>
      </c>
      <c r="I330" s="592" t="s">
        <v>496</v>
      </c>
      <c r="J330" s="592" t="s">
        <v>416</v>
      </c>
      <c r="K330" s="593" t="b">
        <f>FALSE</f>
        <v>0</v>
      </c>
      <c r="L330" s="594">
        <v>2016</v>
      </c>
      <c r="M330" s="595">
        <v>4080000</v>
      </c>
      <c r="N330" s="596">
        <v>41361</v>
      </c>
      <c r="O330" s="596">
        <v>41361</v>
      </c>
    </row>
    <row r="331" spans="1:15" ht="12.75">
      <c r="A331" s="590">
        <v>2013</v>
      </c>
      <c r="B331" s="591" t="s">
        <v>481</v>
      </c>
      <c r="C331" s="591" t="s">
        <v>482</v>
      </c>
      <c r="D331" s="592">
        <v>1021011</v>
      </c>
      <c r="E331" s="592">
        <v>1</v>
      </c>
      <c r="F331" s="592"/>
      <c r="G331" s="592">
        <v>430</v>
      </c>
      <c r="H331" s="592">
        <v>8.2</v>
      </c>
      <c r="I331" s="592" t="s">
        <v>496</v>
      </c>
      <c r="J331" s="592" t="s">
        <v>416</v>
      </c>
      <c r="K331" s="593" t="b">
        <f>FALSE</f>
        <v>0</v>
      </c>
      <c r="L331" s="594">
        <v>2017</v>
      </c>
      <c r="M331" s="595">
        <v>4210000</v>
      </c>
      <c r="N331" s="596">
        <v>41361</v>
      </c>
      <c r="O331" s="596">
        <v>41361</v>
      </c>
    </row>
    <row r="332" spans="1:15" ht="12.75">
      <c r="A332" s="590">
        <v>2013</v>
      </c>
      <c r="B332" s="591" t="s">
        <v>481</v>
      </c>
      <c r="C332" s="591" t="s">
        <v>482</v>
      </c>
      <c r="D332" s="592">
        <v>1021011</v>
      </c>
      <c r="E332" s="592">
        <v>1</v>
      </c>
      <c r="F332" s="592"/>
      <c r="G332" s="592">
        <v>430</v>
      </c>
      <c r="H332" s="592">
        <v>8.2</v>
      </c>
      <c r="I332" s="592" t="s">
        <v>496</v>
      </c>
      <c r="J332" s="592" t="s">
        <v>416</v>
      </c>
      <c r="K332" s="593" t="b">
        <f>FALSE</f>
        <v>0</v>
      </c>
      <c r="L332" s="594">
        <v>2018</v>
      </c>
      <c r="M332" s="595">
        <v>4270000</v>
      </c>
      <c r="N332" s="596">
        <v>41361</v>
      </c>
      <c r="O332" s="596">
        <v>41361</v>
      </c>
    </row>
    <row r="333" spans="1:15" ht="12.75">
      <c r="A333" s="590">
        <v>2013</v>
      </c>
      <c r="B333" s="591" t="s">
        <v>481</v>
      </c>
      <c r="C333" s="591" t="s">
        <v>482</v>
      </c>
      <c r="D333" s="592">
        <v>1021011</v>
      </c>
      <c r="E333" s="592">
        <v>1</v>
      </c>
      <c r="F333" s="592"/>
      <c r="G333" s="592">
        <v>430</v>
      </c>
      <c r="H333" s="592">
        <v>8.2</v>
      </c>
      <c r="I333" s="592" t="s">
        <v>496</v>
      </c>
      <c r="J333" s="592" t="s">
        <v>416</v>
      </c>
      <c r="K333" s="593" t="b">
        <f>FALSE</f>
        <v>0</v>
      </c>
      <c r="L333" s="594">
        <v>2019</v>
      </c>
      <c r="M333" s="595">
        <v>4330000</v>
      </c>
      <c r="N333" s="596">
        <v>41361</v>
      </c>
      <c r="O333" s="596">
        <v>41361</v>
      </c>
    </row>
    <row r="334" spans="1:15" ht="12.75">
      <c r="A334" s="590">
        <v>2013</v>
      </c>
      <c r="B334" s="591" t="s">
        <v>481</v>
      </c>
      <c r="C334" s="591" t="s">
        <v>482</v>
      </c>
      <c r="D334" s="592">
        <v>1021011</v>
      </c>
      <c r="E334" s="592">
        <v>1</v>
      </c>
      <c r="F334" s="592"/>
      <c r="G334" s="592">
        <v>430</v>
      </c>
      <c r="H334" s="592">
        <v>8.2</v>
      </c>
      <c r="I334" s="592" t="s">
        <v>496</v>
      </c>
      <c r="J334" s="592" t="s">
        <v>416</v>
      </c>
      <c r="K334" s="593" t="b">
        <f>FALSE</f>
        <v>0</v>
      </c>
      <c r="L334" s="594">
        <v>2020</v>
      </c>
      <c r="M334" s="595">
        <v>4360000</v>
      </c>
      <c r="N334" s="596">
        <v>41361</v>
      </c>
      <c r="O334" s="596">
        <v>41361</v>
      </c>
    </row>
    <row r="335" spans="1:15" ht="12.75">
      <c r="A335" s="590">
        <v>2013</v>
      </c>
      <c r="B335" s="591" t="s">
        <v>481</v>
      </c>
      <c r="C335" s="591" t="s">
        <v>482</v>
      </c>
      <c r="D335" s="592">
        <v>1021011</v>
      </c>
      <c r="E335" s="592">
        <v>1</v>
      </c>
      <c r="F335" s="592"/>
      <c r="G335" s="592">
        <v>430</v>
      </c>
      <c r="H335" s="592">
        <v>8.2</v>
      </c>
      <c r="I335" s="592" t="s">
        <v>496</v>
      </c>
      <c r="J335" s="592" t="s">
        <v>416</v>
      </c>
      <c r="K335" s="593" t="b">
        <f>FALSE</f>
        <v>0</v>
      </c>
      <c r="L335" s="594">
        <v>2021</v>
      </c>
      <c r="M335" s="595">
        <v>4390000</v>
      </c>
      <c r="N335" s="596">
        <v>41361</v>
      </c>
      <c r="O335" s="596">
        <v>41361</v>
      </c>
    </row>
    <row r="336" spans="1:15" ht="12.75">
      <c r="A336" s="590">
        <v>2013</v>
      </c>
      <c r="B336" s="591" t="s">
        <v>481</v>
      </c>
      <c r="C336" s="591" t="s">
        <v>482</v>
      </c>
      <c r="D336" s="592">
        <v>1021011</v>
      </c>
      <c r="E336" s="592">
        <v>1</v>
      </c>
      <c r="F336" s="592"/>
      <c r="G336" s="592">
        <v>430</v>
      </c>
      <c r="H336" s="592">
        <v>8.2</v>
      </c>
      <c r="I336" s="592" t="s">
        <v>496</v>
      </c>
      <c r="J336" s="592" t="s">
        <v>416</v>
      </c>
      <c r="K336" s="593" t="b">
        <f>FALSE</f>
        <v>0</v>
      </c>
      <c r="L336" s="594">
        <v>2022</v>
      </c>
      <c r="M336" s="595">
        <v>4440000</v>
      </c>
      <c r="N336" s="596">
        <v>41361</v>
      </c>
      <c r="O336" s="596">
        <v>41361</v>
      </c>
    </row>
    <row r="337" spans="1:15" ht="12.75">
      <c r="A337" s="590">
        <v>2013</v>
      </c>
      <c r="B337" s="591" t="s">
        <v>481</v>
      </c>
      <c r="C337" s="591" t="s">
        <v>482</v>
      </c>
      <c r="D337" s="592">
        <v>1021011</v>
      </c>
      <c r="E337" s="592">
        <v>1</v>
      </c>
      <c r="F337" s="592"/>
      <c r="G337" s="592">
        <v>430</v>
      </c>
      <c r="H337" s="592">
        <v>8.2</v>
      </c>
      <c r="I337" s="592" t="s">
        <v>496</v>
      </c>
      <c r="J337" s="592" t="s">
        <v>416</v>
      </c>
      <c r="K337" s="593" t="b">
        <f>FALSE</f>
        <v>0</v>
      </c>
      <c r="L337" s="594">
        <v>2023</v>
      </c>
      <c r="M337" s="595">
        <v>4500000</v>
      </c>
      <c r="N337" s="596">
        <v>41361</v>
      </c>
      <c r="O337" s="596">
        <v>41361</v>
      </c>
    </row>
    <row r="338" spans="1:15" ht="12.75">
      <c r="A338" s="590">
        <v>2013</v>
      </c>
      <c r="B338" s="591" t="s">
        <v>481</v>
      </c>
      <c r="C338" s="591" t="s">
        <v>482</v>
      </c>
      <c r="D338" s="592">
        <v>1021011</v>
      </c>
      <c r="E338" s="592">
        <v>1</v>
      </c>
      <c r="F338" s="592"/>
      <c r="G338" s="592">
        <v>430</v>
      </c>
      <c r="H338" s="592">
        <v>8.2</v>
      </c>
      <c r="I338" s="592" t="s">
        <v>496</v>
      </c>
      <c r="J338" s="592" t="s">
        <v>416</v>
      </c>
      <c r="K338" s="593" t="b">
        <f>FALSE</f>
        <v>0</v>
      </c>
      <c r="L338" s="594">
        <v>2024</v>
      </c>
      <c r="M338" s="595">
        <v>4500000</v>
      </c>
      <c r="N338" s="596">
        <v>41361</v>
      </c>
      <c r="O338" s="596">
        <v>41361</v>
      </c>
    </row>
    <row r="339" spans="1:15" ht="12.75">
      <c r="A339" s="590">
        <v>2013</v>
      </c>
      <c r="B339" s="591" t="s">
        <v>481</v>
      </c>
      <c r="C339" s="591" t="s">
        <v>482</v>
      </c>
      <c r="D339" s="592">
        <v>1021011</v>
      </c>
      <c r="E339" s="592">
        <v>1</v>
      </c>
      <c r="F339" s="592"/>
      <c r="G339" s="592">
        <v>430</v>
      </c>
      <c r="H339" s="592">
        <v>8.2</v>
      </c>
      <c r="I339" s="592" t="s">
        <v>496</v>
      </c>
      <c r="J339" s="592" t="s">
        <v>416</v>
      </c>
      <c r="K339" s="593" t="b">
        <f>FALSE</f>
        <v>0</v>
      </c>
      <c r="L339" s="594">
        <v>2025</v>
      </c>
      <c r="M339" s="595">
        <v>4500000</v>
      </c>
      <c r="N339" s="596">
        <v>41361</v>
      </c>
      <c r="O339" s="596">
        <v>41361</v>
      </c>
    </row>
    <row r="340" spans="1:15" ht="12.75">
      <c r="A340" s="590">
        <v>2013</v>
      </c>
      <c r="B340" s="591" t="s">
        <v>481</v>
      </c>
      <c r="C340" s="591" t="s">
        <v>482</v>
      </c>
      <c r="D340" s="592">
        <v>1021011</v>
      </c>
      <c r="E340" s="592">
        <v>1</v>
      </c>
      <c r="F340" s="592"/>
      <c r="G340" s="592">
        <v>430</v>
      </c>
      <c r="H340" s="592">
        <v>8.2</v>
      </c>
      <c r="I340" s="592" t="s">
        <v>496</v>
      </c>
      <c r="J340" s="592" t="s">
        <v>416</v>
      </c>
      <c r="K340" s="593" t="b">
        <f>FALSE</f>
        <v>0</v>
      </c>
      <c r="L340" s="594">
        <v>2026</v>
      </c>
      <c r="M340" s="595">
        <v>4500000</v>
      </c>
      <c r="N340" s="596">
        <v>41361</v>
      </c>
      <c r="O340" s="596">
        <v>41361</v>
      </c>
    </row>
    <row r="341" spans="1:15" ht="12.75">
      <c r="A341" s="590">
        <v>2013</v>
      </c>
      <c r="B341" s="591" t="s">
        <v>481</v>
      </c>
      <c r="C341" s="591" t="s">
        <v>482</v>
      </c>
      <c r="D341" s="592">
        <v>1021011</v>
      </c>
      <c r="E341" s="592">
        <v>1</v>
      </c>
      <c r="F341" s="592"/>
      <c r="G341" s="592">
        <v>430</v>
      </c>
      <c r="H341" s="592">
        <v>8.2</v>
      </c>
      <c r="I341" s="592" t="s">
        <v>496</v>
      </c>
      <c r="J341" s="592" t="s">
        <v>416</v>
      </c>
      <c r="K341" s="593" t="b">
        <f>FALSE</f>
        <v>0</v>
      </c>
      <c r="L341" s="594">
        <v>2027</v>
      </c>
      <c r="M341" s="595">
        <v>4500000</v>
      </c>
      <c r="N341" s="596">
        <v>41361</v>
      </c>
      <c r="O341" s="596">
        <v>41361</v>
      </c>
    </row>
    <row r="342" spans="1:15" ht="12.75">
      <c r="A342" s="590">
        <v>2013</v>
      </c>
      <c r="B342" s="591" t="s">
        <v>481</v>
      </c>
      <c r="C342" s="591" t="s">
        <v>482</v>
      </c>
      <c r="D342" s="592">
        <v>1021011</v>
      </c>
      <c r="E342" s="592">
        <v>1</v>
      </c>
      <c r="F342" s="592"/>
      <c r="G342" s="592">
        <v>430</v>
      </c>
      <c r="H342" s="592">
        <v>8.2</v>
      </c>
      <c r="I342" s="592" t="s">
        <v>496</v>
      </c>
      <c r="J342" s="592" t="s">
        <v>416</v>
      </c>
      <c r="K342" s="593" t="b">
        <f>FALSE</f>
        <v>0</v>
      </c>
      <c r="L342" s="594">
        <v>2028</v>
      </c>
      <c r="M342" s="595">
        <v>4500000</v>
      </c>
      <c r="N342" s="596">
        <v>41361</v>
      </c>
      <c r="O342" s="596">
        <v>41361</v>
      </c>
    </row>
    <row r="343" spans="1:15" ht="12.75">
      <c r="A343" s="590">
        <v>2013</v>
      </c>
      <c r="B343" s="591" t="s">
        <v>481</v>
      </c>
      <c r="C343" s="591" t="s">
        <v>482</v>
      </c>
      <c r="D343" s="592">
        <v>1021011</v>
      </c>
      <c r="E343" s="592">
        <v>1</v>
      </c>
      <c r="F343" s="592"/>
      <c r="G343" s="592">
        <v>430</v>
      </c>
      <c r="H343" s="592">
        <v>8.2</v>
      </c>
      <c r="I343" s="592" t="s">
        <v>496</v>
      </c>
      <c r="J343" s="592" t="s">
        <v>416</v>
      </c>
      <c r="K343" s="593" t="b">
        <f>FALSE</f>
        <v>0</v>
      </c>
      <c r="L343" s="594">
        <v>2029</v>
      </c>
      <c r="M343" s="595">
        <v>4500000</v>
      </c>
      <c r="N343" s="596">
        <v>41361</v>
      </c>
      <c r="O343" s="596">
        <v>41361</v>
      </c>
    </row>
    <row r="344" spans="1:15" ht="12.75">
      <c r="A344" s="590">
        <v>2013</v>
      </c>
      <c r="B344" s="591" t="s">
        <v>481</v>
      </c>
      <c r="C344" s="591" t="s">
        <v>482</v>
      </c>
      <c r="D344" s="592">
        <v>1021011</v>
      </c>
      <c r="E344" s="592">
        <v>1</v>
      </c>
      <c r="F344" s="592"/>
      <c r="G344" s="592">
        <v>470</v>
      </c>
      <c r="H344" s="592">
        <v>9.3</v>
      </c>
      <c r="I344" s="592" t="s">
        <v>493</v>
      </c>
      <c r="J344" s="592" t="s">
        <v>497</v>
      </c>
      <c r="K344" s="593" t="b">
        <f>TRUE</f>
        <v>1</v>
      </c>
      <c r="L344" s="594">
        <v>2013</v>
      </c>
      <c r="M344" s="595">
        <v>0.1006</v>
      </c>
      <c r="N344" s="596">
        <v>41361</v>
      </c>
      <c r="O344" s="596">
        <v>41361</v>
      </c>
    </row>
    <row r="345" spans="1:15" ht="12.75">
      <c r="A345" s="590">
        <v>2013</v>
      </c>
      <c r="B345" s="591" t="s">
        <v>481</v>
      </c>
      <c r="C345" s="591" t="s">
        <v>482</v>
      </c>
      <c r="D345" s="592">
        <v>1021011</v>
      </c>
      <c r="E345" s="592">
        <v>1</v>
      </c>
      <c r="F345" s="592"/>
      <c r="G345" s="592">
        <v>470</v>
      </c>
      <c r="H345" s="592">
        <v>9.3</v>
      </c>
      <c r="I345" s="592" t="s">
        <v>493</v>
      </c>
      <c r="J345" s="592" t="s">
        <v>497</v>
      </c>
      <c r="K345" s="593" t="b">
        <f>TRUE</f>
        <v>1</v>
      </c>
      <c r="L345" s="594">
        <v>2014</v>
      </c>
      <c r="M345" s="595">
        <v>0.0703</v>
      </c>
      <c r="N345" s="596">
        <v>41361</v>
      </c>
      <c r="O345" s="596">
        <v>41361</v>
      </c>
    </row>
    <row r="346" spans="1:15" ht="12.75">
      <c r="A346" s="590">
        <v>2013</v>
      </c>
      <c r="B346" s="591" t="s">
        <v>481</v>
      </c>
      <c r="C346" s="591" t="s">
        <v>482</v>
      </c>
      <c r="D346" s="592">
        <v>1021011</v>
      </c>
      <c r="E346" s="592">
        <v>1</v>
      </c>
      <c r="F346" s="592"/>
      <c r="G346" s="592">
        <v>470</v>
      </c>
      <c r="H346" s="592">
        <v>9.3</v>
      </c>
      <c r="I346" s="592" t="s">
        <v>493</v>
      </c>
      <c r="J346" s="592" t="s">
        <v>497</v>
      </c>
      <c r="K346" s="593" t="b">
        <f>TRUE</f>
        <v>1</v>
      </c>
      <c r="L346" s="594">
        <v>2015</v>
      </c>
      <c r="M346" s="595">
        <v>0.0842</v>
      </c>
      <c r="N346" s="596">
        <v>41361</v>
      </c>
      <c r="O346" s="596">
        <v>41361</v>
      </c>
    </row>
    <row r="347" spans="1:15" ht="12.75">
      <c r="A347" s="590">
        <v>2013</v>
      </c>
      <c r="B347" s="591" t="s">
        <v>481</v>
      </c>
      <c r="C347" s="591" t="s">
        <v>482</v>
      </c>
      <c r="D347" s="592">
        <v>1021011</v>
      </c>
      <c r="E347" s="592">
        <v>1</v>
      </c>
      <c r="F347" s="592"/>
      <c r="G347" s="592">
        <v>470</v>
      </c>
      <c r="H347" s="592">
        <v>9.3</v>
      </c>
      <c r="I347" s="592" t="s">
        <v>493</v>
      </c>
      <c r="J347" s="592" t="s">
        <v>497</v>
      </c>
      <c r="K347" s="593" t="b">
        <f>TRUE</f>
        <v>1</v>
      </c>
      <c r="L347" s="594">
        <v>2016</v>
      </c>
      <c r="M347" s="595">
        <v>0.0803</v>
      </c>
      <c r="N347" s="596">
        <v>41361</v>
      </c>
      <c r="O347" s="596">
        <v>41361</v>
      </c>
    </row>
    <row r="348" spans="1:15" ht="12.75">
      <c r="A348" s="590">
        <v>2013</v>
      </c>
      <c r="B348" s="591" t="s">
        <v>481</v>
      </c>
      <c r="C348" s="591" t="s">
        <v>482</v>
      </c>
      <c r="D348" s="592">
        <v>1021011</v>
      </c>
      <c r="E348" s="592">
        <v>1</v>
      </c>
      <c r="F348" s="592"/>
      <c r="G348" s="592">
        <v>470</v>
      </c>
      <c r="H348" s="592">
        <v>9.3</v>
      </c>
      <c r="I348" s="592" t="s">
        <v>493</v>
      </c>
      <c r="J348" s="592" t="s">
        <v>497</v>
      </c>
      <c r="K348" s="593" t="b">
        <f>TRUE</f>
        <v>1</v>
      </c>
      <c r="L348" s="594">
        <v>2017</v>
      </c>
      <c r="M348" s="595">
        <v>0.0813</v>
      </c>
      <c r="N348" s="596">
        <v>41361</v>
      </c>
      <c r="O348" s="596">
        <v>41361</v>
      </c>
    </row>
    <row r="349" spans="1:15" ht="12.75">
      <c r="A349" s="590">
        <v>2013</v>
      </c>
      <c r="B349" s="591" t="s">
        <v>481</v>
      </c>
      <c r="C349" s="591" t="s">
        <v>482</v>
      </c>
      <c r="D349" s="592">
        <v>1021011</v>
      </c>
      <c r="E349" s="592">
        <v>1</v>
      </c>
      <c r="F349" s="592"/>
      <c r="G349" s="592">
        <v>470</v>
      </c>
      <c r="H349" s="592">
        <v>9.3</v>
      </c>
      <c r="I349" s="592" t="s">
        <v>493</v>
      </c>
      <c r="J349" s="592" t="s">
        <v>497</v>
      </c>
      <c r="K349" s="593" t="b">
        <f>TRUE</f>
        <v>1</v>
      </c>
      <c r="L349" s="594">
        <v>2018</v>
      </c>
      <c r="M349" s="595">
        <v>0.0751</v>
      </c>
      <c r="N349" s="596">
        <v>41361</v>
      </c>
      <c r="O349" s="596">
        <v>41361</v>
      </c>
    </row>
    <row r="350" spans="1:15" ht="12.75">
      <c r="A350" s="590">
        <v>2013</v>
      </c>
      <c r="B350" s="591" t="s">
        <v>481</v>
      </c>
      <c r="C350" s="591" t="s">
        <v>482</v>
      </c>
      <c r="D350" s="592">
        <v>1021011</v>
      </c>
      <c r="E350" s="592">
        <v>1</v>
      </c>
      <c r="F350" s="592"/>
      <c r="G350" s="592">
        <v>470</v>
      </c>
      <c r="H350" s="592">
        <v>9.3</v>
      </c>
      <c r="I350" s="592" t="s">
        <v>493</v>
      </c>
      <c r="J350" s="592" t="s">
        <v>497</v>
      </c>
      <c r="K350" s="593" t="b">
        <f>TRUE</f>
        <v>1</v>
      </c>
      <c r="L350" s="594">
        <v>2019</v>
      </c>
      <c r="M350" s="595">
        <v>0.0691</v>
      </c>
      <c r="N350" s="596">
        <v>41361</v>
      </c>
      <c r="O350" s="596">
        <v>41361</v>
      </c>
    </row>
    <row r="351" spans="1:15" ht="12.75">
      <c r="A351" s="590">
        <v>2013</v>
      </c>
      <c r="B351" s="591" t="s">
        <v>481</v>
      </c>
      <c r="C351" s="591" t="s">
        <v>482</v>
      </c>
      <c r="D351" s="592">
        <v>1021011</v>
      </c>
      <c r="E351" s="592">
        <v>1</v>
      </c>
      <c r="F351" s="592"/>
      <c r="G351" s="592">
        <v>190</v>
      </c>
      <c r="H351" s="592">
        <v>2.2</v>
      </c>
      <c r="I351" s="592"/>
      <c r="J351" s="592" t="s">
        <v>399</v>
      </c>
      <c r="K351" s="593" t="b">
        <f>FALSE</f>
        <v>0</v>
      </c>
      <c r="L351" s="594">
        <v>2026</v>
      </c>
      <c r="M351" s="595">
        <v>4500000</v>
      </c>
      <c r="N351" s="596">
        <v>41361</v>
      </c>
      <c r="O351" s="596">
        <v>41361</v>
      </c>
    </row>
    <row r="352" spans="1:15" ht="12.75">
      <c r="A352" s="590">
        <v>2013</v>
      </c>
      <c r="B352" s="591" t="s">
        <v>481</v>
      </c>
      <c r="C352" s="591" t="s">
        <v>482</v>
      </c>
      <c r="D352" s="592">
        <v>1021011</v>
      </c>
      <c r="E352" s="592">
        <v>1</v>
      </c>
      <c r="F352" s="592"/>
      <c r="G352" s="592">
        <v>190</v>
      </c>
      <c r="H352" s="592">
        <v>2.2</v>
      </c>
      <c r="I352" s="592"/>
      <c r="J352" s="592" t="s">
        <v>399</v>
      </c>
      <c r="K352" s="593" t="b">
        <f>FALSE</f>
        <v>0</v>
      </c>
      <c r="L352" s="594">
        <v>2027</v>
      </c>
      <c r="M352" s="595">
        <v>4500000</v>
      </c>
      <c r="N352" s="596">
        <v>41361</v>
      </c>
      <c r="O352" s="596">
        <v>41361</v>
      </c>
    </row>
    <row r="353" spans="1:15" ht="12.75">
      <c r="A353" s="590">
        <v>2013</v>
      </c>
      <c r="B353" s="591" t="s">
        <v>481</v>
      </c>
      <c r="C353" s="591" t="s">
        <v>482</v>
      </c>
      <c r="D353" s="592">
        <v>1021011</v>
      </c>
      <c r="E353" s="592">
        <v>1</v>
      </c>
      <c r="F353" s="592"/>
      <c r="G353" s="592">
        <v>470</v>
      </c>
      <c r="H353" s="592">
        <v>9.3</v>
      </c>
      <c r="I353" s="592" t="s">
        <v>493</v>
      </c>
      <c r="J353" s="592" t="s">
        <v>497</v>
      </c>
      <c r="K353" s="593" t="b">
        <f>TRUE</f>
        <v>1</v>
      </c>
      <c r="L353" s="594">
        <v>2020</v>
      </c>
      <c r="M353" s="595">
        <v>0.0672</v>
      </c>
      <c r="N353" s="596">
        <v>41361</v>
      </c>
      <c r="O353" s="596">
        <v>41361</v>
      </c>
    </row>
    <row r="354" spans="1:15" ht="12.75">
      <c r="A354" s="590">
        <v>2013</v>
      </c>
      <c r="B354" s="591" t="s">
        <v>481</v>
      </c>
      <c r="C354" s="591" t="s">
        <v>482</v>
      </c>
      <c r="D354" s="592">
        <v>1021011</v>
      </c>
      <c r="E354" s="592">
        <v>1</v>
      </c>
      <c r="F354" s="592"/>
      <c r="G354" s="592">
        <v>470</v>
      </c>
      <c r="H354" s="592">
        <v>9.3</v>
      </c>
      <c r="I354" s="592" t="s">
        <v>493</v>
      </c>
      <c r="J354" s="592" t="s">
        <v>497</v>
      </c>
      <c r="K354" s="593" t="b">
        <f>TRUE</f>
        <v>1</v>
      </c>
      <c r="L354" s="594">
        <v>2021</v>
      </c>
      <c r="M354" s="595">
        <v>0.0356</v>
      </c>
      <c r="N354" s="596">
        <v>41361</v>
      </c>
      <c r="O354" s="596">
        <v>41361</v>
      </c>
    </row>
    <row r="355" spans="1:15" ht="12.75">
      <c r="A355" s="590">
        <v>2013</v>
      </c>
      <c r="B355" s="591" t="s">
        <v>481</v>
      </c>
      <c r="C355" s="591" t="s">
        <v>482</v>
      </c>
      <c r="D355" s="592">
        <v>1021011</v>
      </c>
      <c r="E355" s="592">
        <v>1</v>
      </c>
      <c r="F355" s="592"/>
      <c r="G355" s="592">
        <v>470</v>
      </c>
      <c r="H355" s="592">
        <v>9.3</v>
      </c>
      <c r="I355" s="592" t="s">
        <v>493</v>
      </c>
      <c r="J355" s="592" t="s">
        <v>497</v>
      </c>
      <c r="K355" s="593" t="b">
        <f>TRUE</f>
        <v>1</v>
      </c>
      <c r="L355" s="594">
        <v>2022</v>
      </c>
      <c r="M355" s="595">
        <v>0.034</v>
      </c>
      <c r="N355" s="596">
        <v>41361</v>
      </c>
      <c r="O355" s="596">
        <v>41361</v>
      </c>
    </row>
    <row r="356" spans="1:15" ht="12.75">
      <c r="A356" s="590">
        <v>2013</v>
      </c>
      <c r="B356" s="591" t="s">
        <v>481</v>
      </c>
      <c r="C356" s="591" t="s">
        <v>482</v>
      </c>
      <c r="D356" s="592">
        <v>1021011</v>
      </c>
      <c r="E356" s="592">
        <v>1</v>
      </c>
      <c r="F356" s="592"/>
      <c r="G356" s="592">
        <v>470</v>
      </c>
      <c r="H356" s="592">
        <v>9.3</v>
      </c>
      <c r="I356" s="592" t="s">
        <v>493</v>
      </c>
      <c r="J356" s="592" t="s">
        <v>497</v>
      </c>
      <c r="K356" s="593" t="b">
        <f>TRUE</f>
        <v>1</v>
      </c>
      <c r="L356" s="594">
        <v>2023</v>
      </c>
      <c r="M356" s="595">
        <v>0.0017</v>
      </c>
      <c r="N356" s="596">
        <v>41361</v>
      </c>
      <c r="O356" s="596">
        <v>41361</v>
      </c>
    </row>
    <row r="357" spans="1:15" ht="12.75">
      <c r="A357" s="590">
        <v>2013</v>
      </c>
      <c r="B357" s="591" t="s">
        <v>481</v>
      </c>
      <c r="C357" s="591" t="s">
        <v>482</v>
      </c>
      <c r="D357" s="592">
        <v>1021011</v>
      </c>
      <c r="E357" s="592">
        <v>1</v>
      </c>
      <c r="F357" s="592"/>
      <c r="G357" s="592">
        <v>470</v>
      </c>
      <c r="H357" s="592">
        <v>9.3</v>
      </c>
      <c r="I357" s="592" t="s">
        <v>493</v>
      </c>
      <c r="J357" s="592" t="s">
        <v>497</v>
      </c>
      <c r="K357" s="593" t="b">
        <f>TRUE</f>
        <v>1</v>
      </c>
      <c r="L357" s="594">
        <v>2024</v>
      </c>
      <c r="M357" s="595">
        <v>0.0017</v>
      </c>
      <c r="N357" s="596">
        <v>41361</v>
      </c>
      <c r="O357" s="596">
        <v>41361</v>
      </c>
    </row>
    <row r="358" spans="1:15" ht="12.75">
      <c r="A358" s="590">
        <v>2013</v>
      </c>
      <c r="B358" s="591" t="s">
        <v>481</v>
      </c>
      <c r="C358" s="591" t="s">
        <v>482</v>
      </c>
      <c r="D358" s="592">
        <v>1021011</v>
      </c>
      <c r="E358" s="592">
        <v>1</v>
      </c>
      <c r="F358" s="592"/>
      <c r="G358" s="592">
        <v>470</v>
      </c>
      <c r="H358" s="592">
        <v>9.3</v>
      </c>
      <c r="I358" s="592" t="s">
        <v>493</v>
      </c>
      <c r="J358" s="592" t="s">
        <v>497</v>
      </c>
      <c r="K358" s="593" t="b">
        <f>TRUE</f>
        <v>1</v>
      </c>
      <c r="L358" s="594">
        <v>2025</v>
      </c>
      <c r="M358" s="595">
        <v>0.0016</v>
      </c>
      <c r="N358" s="596">
        <v>41361</v>
      </c>
      <c r="O358" s="596">
        <v>41361</v>
      </c>
    </row>
    <row r="359" spans="1:15" ht="12.75">
      <c r="A359" s="590">
        <v>2013</v>
      </c>
      <c r="B359" s="591" t="s">
        <v>481</v>
      </c>
      <c r="C359" s="591" t="s">
        <v>482</v>
      </c>
      <c r="D359" s="592">
        <v>1021011</v>
      </c>
      <c r="E359" s="592">
        <v>1</v>
      </c>
      <c r="F359" s="592"/>
      <c r="G359" s="592">
        <v>470</v>
      </c>
      <c r="H359" s="592">
        <v>9.3</v>
      </c>
      <c r="I359" s="592" t="s">
        <v>493</v>
      </c>
      <c r="J359" s="592" t="s">
        <v>497</v>
      </c>
      <c r="K359" s="593" t="b">
        <f>TRUE</f>
        <v>1</v>
      </c>
      <c r="L359" s="594">
        <v>2026</v>
      </c>
      <c r="M359" s="595">
        <v>0.0016</v>
      </c>
      <c r="N359" s="596">
        <v>41361</v>
      </c>
      <c r="O359" s="596">
        <v>41361</v>
      </c>
    </row>
    <row r="360" spans="1:15" ht="12.75">
      <c r="A360" s="590">
        <v>2013</v>
      </c>
      <c r="B360" s="591" t="s">
        <v>481</v>
      </c>
      <c r="C360" s="591" t="s">
        <v>482</v>
      </c>
      <c r="D360" s="592">
        <v>1021011</v>
      </c>
      <c r="E360" s="592">
        <v>1</v>
      </c>
      <c r="F360" s="592"/>
      <c r="G360" s="592">
        <v>470</v>
      </c>
      <c r="H360" s="592">
        <v>9.3</v>
      </c>
      <c r="I360" s="592" t="s">
        <v>493</v>
      </c>
      <c r="J360" s="592" t="s">
        <v>497</v>
      </c>
      <c r="K360" s="593" t="b">
        <f>TRUE</f>
        <v>1</v>
      </c>
      <c r="L360" s="594">
        <v>2027</v>
      </c>
      <c r="M360" s="595">
        <v>0.0016</v>
      </c>
      <c r="N360" s="596">
        <v>41361</v>
      </c>
      <c r="O360" s="596">
        <v>41361</v>
      </c>
    </row>
    <row r="361" spans="1:15" ht="12.75">
      <c r="A361" s="590">
        <v>2013</v>
      </c>
      <c r="B361" s="591" t="s">
        <v>481</v>
      </c>
      <c r="C361" s="591" t="s">
        <v>482</v>
      </c>
      <c r="D361" s="592">
        <v>1021011</v>
      </c>
      <c r="E361" s="592">
        <v>1</v>
      </c>
      <c r="F361" s="592"/>
      <c r="G361" s="592">
        <v>470</v>
      </c>
      <c r="H361" s="592">
        <v>9.3</v>
      </c>
      <c r="I361" s="592" t="s">
        <v>493</v>
      </c>
      <c r="J361" s="592" t="s">
        <v>497</v>
      </c>
      <c r="K361" s="593" t="b">
        <f>TRUE</f>
        <v>1</v>
      </c>
      <c r="L361" s="594">
        <v>2028</v>
      </c>
      <c r="M361" s="595">
        <v>0.0016</v>
      </c>
      <c r="N361" s="596">
        <v>41361</v>
      </c>
      <c r="O361" s="596">
        <v>41361</v>
      </c>
    </row>
    <row r="362" spans="1:15" ht="12.75">
      <c r="A362" s="590">
        <v>2013</v>
      </c>
      <c r="B362" s="591" t="s">
        <v>481</v>
      </c>
      <c r="C362" s="591" t="s">
        <v>482</v>
      </c>
      <c r="D362" s="592">
        <v>1021011</v>
      </c>
      <c r="E362" s="592">
        <v>1</v>
      </c>
      <c r="F362" s="592"/>
      <c r="G362" s="592">
        <v>190</v>
      </c>
      <c r="H362" s="592">
        <v>2.2</v>
      </c>
      <c r="I362" s="592"/>
      <c r="J362" s="592" t="s">
        <v>399</v>
      </c>
      <c r="K362" s="593" t="b">
        <f>FALSE</f>
        <v>0</v>
      </c>
      <c r="L362" s="594">
        <v>2028</v>
      </c>
      <c r="M362" s="595">
        <v>4500000</v>
      </c>
      <c r="N362" s="596">
        <v>41361</v>
      </c>
      <c r="O362" s="596">
        <v>41361</v>
      </c>
    </row>
    <row r="363" spans="1:15" ht="12.75">
      <c r="A363" s="590">
        <v>2013</v>
      </c>
      <c r="B363" s="591" t="s">
        <v>481</v>
      </c>
      <c r="C363" s="591" t="s">
        <v>482</v>
      </c>
      <c r="D363" s="592">
        <v>1021011</v>
      </c>
      <c r="E363" s="592">
        <v>1</v>
      </c>
      <c r="F363" s="592"/>
      <c r="G363" s="592">
        <v>190</v>
      </c>
      <c r="H363" s="592">
        <v>2.2</v>
      </c>
      <c r="I363" s="592"/>
      <c r="J363" s="592" t="s">
        <v>399</v>
      </c>
      <c r="K363" s="593" t="b">
        <f>FALSE</f>
        <v>0</v>
      </c>
      <c r="L363" s="594">
        <v>2029</v>
      </c>
      <c r="M363" s="595">
        <v>4500000</v>
      </c>
      <c r="N363" s="596">
        <v>41361</v>
      </c>
      <c r="O363" s="596">
        <v>41361</v>
      </c>
    </row>
    <row r="364" spans="1:15" ht="12.75">
      <c r="A364" s="590">
        <v>2013</v>
      </c>
      <c r="B364" s="591" t="s">
        <v>481</v>
      </c>
      <c r="C364" s="591" t="s">
        <v>482</v>
      </c>
      <c r="D364" s="592">
        <v>1021011</v>
      </c>
      <c r="E364" s="592">
        <v>1</v>
      </c>
      <c r="F364" s="592"/>
      <c r="G364" s="592">
        <v>40</v>
      </c>
      <c r="H364" s="592" t="s">
        <v>14</v>
      </c>
      <c r="I364" s="592"/>
      <c r="J364" s="592" t="s">
        <v>385</v>
      </c>
      <c r="K364" s="593" t="b">
        <f>TRUE</f>
        <v>1</v>
      </c>
      <c r="L364" s="594">
        <v>2013</v>
      </c>
      <c r="M364" s="595">
        <v>120000</v>
      </c>
      <c r="N364" s="596">
        <v>41361</v>
      </c>
      <c r="O364" s="596">
        <v>41361</v>
      </c>
    </row>
    <row r="365" spans="1:15" ht="12.75">
      <c r="A365" s="590">
        <v>2013</v>
      </c>
      <c r="B365" s="591" t="s">
        <v>481</v>
      </c>
      <c r="C365" s="591" t="s">
        <v>482</v>
      </c>
      <c r="D365" s="592">
        <v>1021011</v>
      </c>
      <c r="E365" s="592">
        <v>1</v>
      </c>
      <c r="F365" s="592"/>
      <c r="G365" s="592">
        <v>470</v>
      </c>
      <c r="H365" s="592">
        <v>9.3</v>
      </c>
      <c r="I365" s="592" t="s">
        <v>493</v>
      </c>
      <c r="J365" s="592" t="s">
        <v>497</v>
      </c>
      <c r="K365" s="593" t="b">
        <f>TRUE</f>
        <v>1</v>
      </c>
      <c r="L365" s="594">
        <v>2029</v>
      </c>
      <c r="M365" s="595">
        <v>0.0017</v>
      </c>
      <c r="N365" s="596">
        <v>41361</v>
      </c>
      <c r="O365" s="596">
        <v>41361</v>
      </c>
    </row>
    <row r="366" spans="1:15" ht="12.75">
      <c r="A366" s="590">
        <v>2013</v>
      </c>
      <c r="B366" s="591" t="s">
        <v>481</v>
      </c>
      <c r="C366" s="591" t="s">
        <v>482</v>
      </c>
      <c r="D366" s="592">
        <v>1021011</v>
      </c>
      <c r="E366" s="592">
        <v>1</v>
      </c>
      <c r="F366" s="592"/>
      <c r="G366" s="592">
        <v>480</v>
      </c>
      <c r="H366" s="592">
        <v>9.4</v>
      </c>
      <c r="I366" s="592" t="s">
        <v>485</v>
      </c>
      <c r="J366" s="592" t="s">
        <v>419</v>
      </c>
      <c r="K366" s="593" t="b">
        <f>FALSE</f>
        <v>0</v>
      </c>
      <c r="L366" s="594">
        <v>2013</v>
      </c>
      <c r="M366" s="595">
        <v>0.1006</v>
      </c>
      <c r="N366" s="596">
        <v>41361</v>
      </c>
      <c r="O366" s="596">
        <v>41361</v>
      </c>
    </row>
    <row r="367" spans="1:15" ht="12.75">
      <c r="A367" s="590">
        <v>2013</v>
      </c>
      <c r="B367" s="591" t="s">
        <v>481</v>
      </c>
      <c r="C367" s="591" t="s">
        <v>482</v>
      </c>
      <c r="D367" s="592">
        <v>1021011</v>
      </c>
      <c r="E367" s="592">
        <v>1</v>
      </c>
      <c r="F367" s="592"/>
      <c r="G367" s="592">
        <v>480</v>
      </c>
      <c r="H367" s="592">
        <v>9.4</v>
      </c>
      <c r="I367" s="592" t="s">
        <v>485</v>
      </c>
      <c r="J367" s="592" t="s">
        <v>419</v>
      </c>
      <c r="K367" s="593" t="b">
        <f>FALSE</f>
        <v>0</v>
      </c>
      <c r="L367" s="594">
        <v>2014</v>
      </c>
      <c r="M367" s="595">
        <v>0.0703</v>
      </c>
      <c r="N367" s="596">
        <v>41361</v>
      </c>
      <c r="O367" s="596">
        <v>41361</v>
      </c>
    </row>
    <row r="368" spans="1:15" ht="12.75">
      <c r="A368" s="590">
        <v>2013</v>
      </c>
      <c r="B368" s="591" t="s">
        <v>481</v>
      </c>
      <c r="C368" s="591" t="s">
        <v>482</v>
      </c>
      <c r="D368" s="592">
        <v>1021011</v>
      </c>
      <c r="E368" s="592">
        <v>1</v>
      </c>
      <c r="F368" s="592"/>
      <c r="G368" s="592">
        <v>480</v>
      </c>
      <c r="H368" s="592">
        <v>9.4</v>
      </c>
      <c r="I368" s="592" t="s">
        <v>485</v>
      </c>
      <c r="J368" s="592" t="s">
        <v>419</v>
      </c>
      <c r="K368" s="593" t="b">
        <f>FALSE</f>
        <v>0</v>
      </c>
      <c r="L368" s="594">
        <v>2015</v>
      </c>
      <c r="M368" s="595">
        <v>0.0842</v>
      </c>
      <c r="N368" s="596">
        <v>41361</v>
      </c>
      <c r="O368" s="596">
        <v>41361</v>
      </c>
    </row>
    <row r="369" spans="1:15" ht="12.75">
      <c r="A369" s="590">
        <v>2013</v>
      </c>
      <c r="B369" s="591" t="s">
        <v>481</v>
      </c>
      <c r="C369" s="591" t="s">
        <v>482</v>
      </c>
      <c r="D369" s="592">
        <v>1021011</v>
      </c>
      <c r="E369" s="592">
        <v>1</v>
      </c>
      <c r="F369" s="592"/>
      <c r="G369" s="592">
        <v>480</v>
      </c>
      <c r="H369" s="592">
        <v>9.4</v>
      </c>
      <c r="I369" s="592" t="s">
        <v>485</v>
      </c>
      <c r="J369" s="592" t="s">
        <v>419</v>
      </c>
      <c r="K369" s="593" t="b">
        <f>FALSE</f>
        <v>0</v>
      </c>
      <c r="L369" s="594">
        <v>2016</v>
      </c>
      <c r="M369" s="595">
        <v>0.0803</v>
      </c>
      <c r="N369" s="596">
        <v>41361</v>
      </c>
      <c r="O369" s="596">
        <v>41361</v>
      </c>
    </row>
    <row r="370" spans="1:15" ht="12.75">
      <c r="A370" s="590">
        <v>2013</v>
      </c>
      <c r="B370" s="591" t="s">
        <v>481</v>
      </c>
      <c r="C370" s="591" t="s">
        <v>482</v>
      </c>
      <c r="D370" s="592">
        <v>1021011</v>
      </c>
      <c r="E370" s="592">
        <v>1</v>
      </c>
      <c r="F370" s="592"/>
      <c r="G370" s="592">
        <v>480</v>
      </c>
      <c r="H370" s="592">
        <v>9.4</v>
      </c>
      <c r="I370" s="592" t="s">
        <v>485</v>
      </c>
      <c r="J370" s="592" t="s">
        <v>419</v>
      </c>
      <c r="K370" s="593" t="b">
        <f>FALSE</f>
        <v>0</v>
      </c>
      <c r="L370" s="594">
        <v>2017</v>
      </c>
      <c r="M370" s="595">
        <v>0.0813</v>
      </c>
      <c r="N370" s="596">
        <v>41361</v>
      </c>
      <c r="O370" s="596">
        <v>41361</v>
      </c>
    </row>
    <row r="371" spans="1:15" ht="12.75">
      <c r="A371" s="590">
        <v>2013</v>
      </c>
      <c r="B371" s="591" t="s">
        <v>481</v>
      </c>
      <c r="C371" s="591" t="s">
        <v>482</v>
      </c>
      <c r="D371" s="592">
        <v>1021011</v>
      </c>
      <c r="E371" s="592">
        <v>1</v>
      </c>
      <c r="F371" s="592"/>
      <c r="G371" s="592">
        <v>480</v>
      </c>
      <c r="H371" s="592">
        <v>9.4</v>
      </c>
      <c r="I371" s="592" t="s">
        <v>485</v>
      </c>
      <c r="J371" s="592" t="s">
        <v>419</v>
      </c>
      <c r="K371" s="593" t="b">
        <f>FALSE</f>
        <v>0</v>
      </c>
      <c r="L371" s="594">
        <v>2018</v>
      </c>
      <c r="M371" s="595">
        <v>0.0751</v>
      </c>
      <c r="N371" s="596">
        <v>41361</v>
      </c>
      <c r="O371" s="596">
        <v>41361</v>
      </c>
    </row>
    <row r="372" spans="1:15" ht="12.75">
      <c r="A372" s="590">
        <v>2013</v>
      </c>
      <c r="B372" s="591" t="s">
        <v>481</v>
      </c>
      <c r="C372" s="591" t="s">
        <v>482</v>
      </c>
      <c r="D372" s="592">
        <v>1021011</v>
      </c>
      <c r="E372" s="592">
        <v>1</v>
      </c>
      <c r="F372" s="592"/>
      <c r="G372" s="592">
        <v>480</v>
      </c>
      <c r="H372" s="592">
        <v>9.4</v>
      </c>
      <c r="I372" s="592" t="s">
        <v>485</v>
      </c>
      <c r="J372" s="592" t="s">
        <v>419</v>
      </c>
      <c r="K372" s="593" t="b">
        <f>FALSE</f>
        <v>0</v>
      </c>
      <c r="L372" s="594">
        <v>2019</v>
      </c>
      <c r="M372" s="595">
        <v>0.0691</v>
      </c>
      <c r="N372" s="596">
        <v>41361</v>
      </c>
      <c r="O372" s="596">
        <v>41361</v>
      </c>
    </row>
    <row r="373" spans="1:15" ht="12.75">
      <c r="A373" s="590">
        <v>2013</v>
      </c>
      <c r="B373" s="591" t="s">
        <v>481</v>
      </c>
      <c r="C373" s="591" t="s">
        <v>482</v>
      </c>
      <c r="D373" s="592">
        <v>1021011</v>
      </c>
      <c r="E373" s="592">
        <v>1</v>
      </c>
      <c r="F373" s="592"/>
      <c r="G373" s="592">
        <v>480</v>
      </c>
      <c r="H373" s="592">
        <v>9.4</v>
      </c>
      <c r="I373" s="592" t="s">
        <v>485</v>
      </c>
      <c r="J373" s="592" t="s">
        <v>419</v>
      </c>
      <c r="K373" s="593" t="b">
        <f>FALSE</f>
        <v>0</v>
      </c>
      <c r="L373" s="594">
        <v>2020</v>
      </c>
      <c r="M373" s="595">
        <v>0.0672</v>
      </c>
      <c r="N373" s="596">
        <v>41361</v>
      </c>
      <c r="O373" s="596">
        <v>41361</v>
      </c>
    </row>
    <row r="374" spans="1:15" ht="12.75">
      <c r="A374" s="590">
        <v>2013</v>
      </c>
      <c r="B374" s="591" t="s">
        <v>481</v>
      </c>
      <c r="C374" s="591" t="s">
        <v>482</v>
      </c>
      <c r="D374" s="592">
        <v>1021011</v>
      </c>
      <c r="E374" s="592">
        <v>1</v>
      </c>
      <c r="F374" s="592"/>
      <c r="G374" s="592">
        <v>505</v>
      </c>
      <c r="H374" s="592" t="s">
        <v>98</v>
      </c>
      <c r="I374" s="592" t="s">
        <v>498</v>
      </c>
      <c r="J374" s="592" t="s">
        <v>422</v>
      </c>
      <c r="K374" s="593" t="b">
        <f>FALSE</f>
        <v>0</v>
      </c>
      <c r="L374" s="594">
        <v>2022</v>
      </c>
      <c r="M374" s="595">
        <v>0.1287</v>
      </c>
      <c r="N374" s="596">
        <v>41361</v>
      </c>
      <c r="O374" s="596">
        <v>41361</v>
      </c>
    </row>
    <row r="375" spans="1:15" ht="12.75">
      <c r="A375" s="590">
        <v>2013</v>
      </c>
      <c r="B375" s="591" t="s">
        <v>481</v>
      </c>
      <c r="C375" s="591" t="s">
        <v>482</v>
      </c>
      <c r="D375" s="592">
        <v>1021011</v>
      </c>
      <c r="E375" s="592">
        <v>1</v>
      </c>
      <c r="F375" s="592"/>
      <c r="G375" s="592">
        <v>505</v>
      </c>
      <c r="H375" s="592" t="s">
        <v>98</v>
      </c>
      <c r="I375" s="592" t="s">
        <v>498</v>
      </c>
      <c r="J375" s="592" t="s">
        <v>422</v>
      </c>
      <c r="K375" s="593" t="b">
        <f>FALSE</f>
        <v>0</v>
      </c>
      <c r="L375" s="594">
        <v>2023</v>
      </c>
      <c r="M375" s="595">
        <v>0.1286</v>
      </c>
      <c r="N375" s="596">
        <v>41361</v>
      </c>
      <c r="O375" s="596">
        <v>41361</v>
      </c>
    </row>
    <row r="376" spans="1:15" ht="12.75">
      <c r="A376" s="590">
        <v>2013</v>
      </c>
      <c r="B376" s="591" t="s">
        <v>481</v>
      </c>
      <c r="C376" s="591" t="s">
        <v>482</v>
      </c>
      <c r="D376" s="592">
        <v>1021011</v>
      </c>
      <c r="E376" s="592">
        <v>1</v>
      </c>
      <c r="F376" s="592"/>
      <c r="G376" s="592">
        <v>480</v>
      </c>
      <c r="H376" s="592">
        <v>9.4</v>
      </c>
      <c r="I376" s="592" t="s">
        <v>485</v>
      </c>
      <c r="J376" s="592" t="s">
        <v>419</v>
      </c>
      <c r="K376" s="593" t="b">
        <f>FALSE</f>
        <v>0</v>
      </c>
      <c r="L376" s="594">
        <v>2021</v>
      </c>
      <c r="M376" s="595">
        <v>0.0356</v>
      </c>
      <c r="N376" s="596">
        <v>41361</v>
      </c>
      <c r="O376" s="596">
        <v>41361</v>
      </c>
    </row>
    <row r="377" spans="1:15" ht="12.75">
      <c r="A377" s="590">
        <v>2013</v>
      </c>
      <c r="B377" s="591" t="s">
        <v>481</v>
      </c>
      <c r="C377" s="591" t="s">
        <v>482</v>
      </c>
      <c r="D377" s="592">
        <v>1021011</v>
      </c>
      <c r="E377" s="592">
        <v>1</v>
      </c>
      <c r="F377" s="592"/>
      <c r="G377" s="592">
        <v>480</v>
      </c>
      <c r="H377" s="592">
        <v>9.4</v>
      </c>
      <c r="I377" s="592" t="s">
        <v>485</v>
      </c>
      <c r="J377" s="592" t="s">
        <v>419</v>
      </c>
      <c r="K377" s="593" t="b">
        <f>FALSE</f>
        <v>0</v>
      </c>
      <c r="L377" s="594">
        <v>2022</v>
      </c>
      <c r="M377" s="595">
        <v>0.034</v>
      </c>
      <c r="N377" s="596">
        <v>41361</v>
      </c>
      <c r="O377" s="596">
        <v>41361</v>
      </c>
    </row>
    <row r="378" spans="1:15" ht="12.75">
      <c r="A378" s="590">
        <v>2013</v>
      </c>
      <c r="B378" s="591" t="s">
        <v>481</v>
      </c>
      <c r="C378" s="591" t="s">
        <v>482</v>
      </c>
      <c r="D378" s="592">
        <v>1021011</v>
      </c>
      <c r="E378" s="592">
        <v>1</v>
      </c>
      <c r="F378" s="592"/>
      <c r="G378" s="592">
        <v>480</v>
      </c>
      <c r="H378" s="592">
        <v>9.4</v>
      </c>
      <c r="I378" s="592" t="s">
        <v>485</v>
      </c>
      <c r="J378" s="592" t="s">
        <v>419</v>
      </c>
      <c r="K378" s="593" t="b">
        <f>FALSE</f>
        <v>0</v>
      </c>
      <c r="L378" s="594">
        <v>2023</v>
      </c>
      <c r="M378" s="595">
        <v>0.0017</v>
      </c>
      <c r="N378" s="596">
        <v>41361</v>
      </c>
      <c r="O378" s="596">
        <v>41361</v>
      </c>
    </row>
    <row r="379" spans="1:15" ht="12.75">
      <c r="A379" s="590">
        <v>2013</v>
      </c>
      <c r="B379" s="591" t="s">
        <v>481</v>
      </c>
      <c r="C379" s="591" t="s">
        <v>482</v>
      </c>
      <c r="D379" s="592">
        <v>1021011</v>
      </c>
      <c r="E379" s="592">
        <v>1</v>
      </c>
      <c r="F379" s="592"/>
      <c r="G379" s="592">
        <v>480</v>
      </c>
      <c r="H379" s="592">
        <v>9.4</v>
      </c>
      <c r="I379" s="592" t="s">
        <v>485</v>
      </c>
      <c r="J379" s="592" t="s">
        <v>419</v>
      </c>
      <c r="K379" s="593" t="b">
        <f>FALSE</f>
        <v>0</v>
      </c>
      <c r="L379" s="594">
        <v>2024</v>
      </c>
      <c r="M379" s="595">
        <v>0.0017</v>
      </c>
      <c r="N379" s="596">
        <v>41361</v>
      </c>
      <c r="O379" s="596">
        <v>41361</v>
      </c>
    </row>
    <row r="380" spans="1:15" ht="12.75">
      <c r="A380" s="590">
        <v>2013</v>
      </c>
      <c r="B380" s="591" t="s">
        <v>481</v>
      </c>
      <c r="C380" s="591" t="s">
        <v>482</v>
      </c>
      <c r="D380" s="592">
        <v>1021011</v>
      </c>
      <c r="E380" s="592">
        <v>1</v>
      </c>
      <c r="F380" s="592"/>
      <c r="G380" s="592">
        <v>480</v>
      </c>
      <c r="H380" s="592">
        <v>9.4</v>
      </c>
      <c r="I380" s="592" t="s">
        <v>485</v>
      </c>
      <c r="J380" s="592" t="s">
        <v>419</v>
      </c>
      <c r="K380" s="593" t="b">
        <f>FALSE</f>
        <v>0</v>
      </c>
      <c r="L380" s="594">
        <v>2025</v>
      </c>
      <c r="M380" s="595">
        <v>0.0016</v>
      </c>
      <c r="N380" s="596">
        <v>41361</v>
      </c>
      <c r="O380" s="596">
        <v>41361</v>
      </c>
    </row>
    <row r="381" spans="1:15" ht="12.75">
      <c r="A381" s="590">
        <v>2013</v>
      </c>
      <c r="B381" s="591" t="s">
        <v>481</v>
      </c>
      <c r="C381" s="591" t="s">
        <v>482</v>
      </c>
      <c r="D381" s="592">
        <v>1021011</v>
      </c>
      <c r="E381" s="592">
        <v>1</v>
      </c>
      <c r="F381" s="592"/>
      <c r="G381" s="592">
        <v>480</v>
      </c>
      <c r="H381" s="592">
        <v>9.4</v>
      </c>
      <c r="I381" s="592" t="s">
        <v>485</v>
      </c>
      <c r="J381" s="592" t="s">
        <v>419</v>
      </c>
      <c r="K381" s="593" t="b">
        <f>FALSE</f>
        <v>0</v>
      </c>
      <c r="L381" s="594">
        <v>2026</v>
      </c>
      <c r="M381" s="595">
        <v>0.0016</v>
      </c>
      <c r="N381" s="596">
        <v>41361</v>
      </c>
      <c r="O381" s="596">
        <v>41361</v>
      </c>
    </row>
    <row r="382" spans="1:15" ht="12.75">
      <c r="A382" s="590">
        <v>2013</v>
      </c>
      <c r="B382" s="591" t="s">
        <v>481</v>
      </c>
      <c r="C382" s="591" t="s">
        <v>482</v>
      </c>
      <c r="D382" s="592">
        <v>1021011</v>
      </c>
      <c r="E382" s="592">
        <v>1</v>
      </c>
      <c r="F382" s="592"/>
      <c r="G382" s="592">
        <v>480</v>
      </c>
      <c r="H382" s="592">
        <v>9.4</v>
      </c>
      <c r="I382" s="592" t="s">
        <v>485</v>
      </c>
      <c r="J382" s="592" t="s">
        <v>419</v>
      </c>
      <c r="K382" s="593" t="b">
        <f>FALSE</f>
        <v>0</v>
      </c>
      <c r="L382" s="594">
        <v>2027</v>
      </c>
      <c r="M382" s="595">
        <v>0.0016</v>
      </c>
      <c r="N382" s="596">
        <v>41361</v>
      </c>
      <c r="O382" s="596">
        <v>41361</v>
      </c>
    </row>
    <row r="383" spans="1:15" ht="12.75">
      <c r="A383" s="590">
        <v>2013</v>
      </c>
      <c r="B383" s="591" t="s">
        <v>481</v>
      </c>
      <c r="C383" s="591" t="s">
        <v>482</v>
      </c>
      <c r="D383" s="592">
        <v>1021011</v>
      </c>
      <c r="E383" s="592">
        <v>1</v>
      </c>
      <c r="F383" s="592"/>
      <c r="G383" s="592">
        <v>480</v>
      </c>
      <c r="H383" s="592">
        <v>9.4</v>
      </c>
      <c r="I383" s="592" t="s">
        <v>485</v>
      </c>
      <c r="J383" s="592" t="s">
        <v>419</v>
      </c>
      <c r="K383" s="593" t="b">
        <f>FALSE</f>
        <v>0</v>
      </c>
      <c r="L383" s="594">
        <v>2028</v>
      </c>
      <c r="M383" s="595">
        <v>0.0016</v>
      </c>
      <c r="N383" s="596">
        <v>41361</v>
      </c>
      <c r="O383" s="596">
        <v>41361</v>
      </c>
    </row>
    <row r="384" spans="1:15" ht="12.75">
      <c r="A384" s="590">
        <v>2013</v>
      </c>
      <c r="B384" s="591" t="s">
        <v>481</v>
      </c>
      <c r="C384" s="591" t="s">
        <v>482</v>
      </c>
      <c r="D384" s="592">
        <v>1021011</v>
      </c>
      <c r="E384" s="592">
        <v>1</v>
      </c>
      <c r="F384" s="592"/>
      <c r="G384" s="592">
        <v>480</v>
      </c>
      <c r="H384" s="592">
        <v>9.4</v>
      </c>
      <c r="I384" s="592" t="s">
        <v>485</v>
      </c>
      <c r="J384" s="592" t="s">
        <v>419</v>
      </c>
      <c r="K384" s="593" t="b">
        <f>FALSE</f>
        <v>0</v>
      </c>
      <c r="L384" s="594">
        <v>2029</v>
      </c>
      <c r="M384" s="595">
        <v>0.0017</v>
      </c>
      <c r="N384" s="596">
        <v>41361</v>
      </c>
      <c r="O384" s="596">
        <v>41361</v>
      </c>
    </row>
    <row r="385" spans="1:15" ht="12.75">
      <c r="A385" s="590">
        <v>2013</v>
      </c>
      <c r="B385" s="591" t="s">
        <v>481</v>
      </c>
      <c r="C385" s="591" t="s">
        <v>482</v>
      </c>
      <c r="D385" s="592">
        <v>1021011</v>
      </c>
      <c r="E385" s="592">
        <v>1</v>
      </c>
      <c r="F385" s="592"/>
      <c r="G385" s="592">
        <v>505</v>
      </c>
      <c r="H385" s="592" t="s">
        <v>98</v>
      </c>
      <c r="I385" s="592" t="s">
        <v>498</v>
      </c>
      <c r="J385" s="592" t="s">
        <v>422</v>
      </c>
      <c r="K385" s="593" t="b">
        <f>FALSE</f>
        <v>0</v>
      </c>
      <c r="L385" s="594">
        <v>2024</v>
      </c>
      <c r="M385" s="595">
        <v>0.1268</v>
      </c>
      <c r="N385" s="596">
        <v>41361</v>
      </c>
      <c r="O385" s="596">
        <v>41361</v>
      </c>
    </row>
    <row r="386" spans="1:15" ht="12.75">
      <c r="A386" s="590">
        <v>2013</v>
      </c>
      <c r="B386" s="591" t="s">
        <v>481</v>
      </c>
      <c r="C386" s="591" t="s">
        <v>482</v>
      </c>
      <c r="D386" s="592">
        <v>1021011</v>
      </c>
      <c r="E386" s="592">
        <v>1</v>
      </c>
      <c r="F386" s="592"/>
      <c r="G386" s="592">
        <v>540</v>
      </c>
      <c r="H386" s="592" t="s">
        <v>106</v>
      </c>
      <c r="I386" s="592" t="s">
        <v>499</v>
      </c>
      <c r="J386" s="592" t="s">
        <v>426</v>
      </c>
      <c r="K386" s="593" t="b">
        <f>FALSE</f>
        <v>0</v>
      </c>
      <c r="L386" s="594">
        <v>2013</v>
      </c>
      <c r="M386" s="595">
        <v>-274</v>
      </c>
      <c r="N386" s="596">
        <v>41361</v>
      </c>
      <c r="O386" s="596">
        <v>41361</v>
      </c>
    </row>
    <row r="387" spans="1:15" ht="12.75">
      <c r="A387" s="590">
        <v>2013</v>
      </c>
      <c r="B387" s="591" t="s">
        <v>481</v>
      </c>
      <c r="C387" s="591" t="s">
        <v>482</v>
      </c>
      <c r="D387" s="592">
        <v>1021011</v>
      </c>
      <c r="E387" s="592">
        <v>1</v>
      </c>
      <c r="F387" s="592"/>
      <c r="G387" s="592">
        <v>540</v>
      </c>
      <c r="H387" s="592" t="s">
        <v>106</v>
      </c>
      <c r="I387" s="592" t="s">
        <v>499</v>
      </c>
      <c r="J387" s="592" t="s">
        <v>426</v>
      </c>
      <c r="K387" s="593" t="b">
        <f>FALSE</f>
        <v>0</v>
      </c>
      <c r="L387" s="594">
        <v>2014</v>
      </c>
      <c r="M387" s="595">
        <v>206</v>
      </c>
      <c r="N387" s="596">
        <v>41361</v>
      </c>
      <c r="O387" s="596">
        <v>41361</v>
      </c>
    </row>
    <row r="388" spans="1:15" ht="12.75">
      <c r="A388" s="590">
        <v>2013</v>
      </c>
      <c r="B388" s="591" t="s">
        <v>481</v>
      </c>
      <c r="C388" s="591" t="s">
        <v>482</v>
      </c>
      <c r="D388" s="592">
        <v>1021011</v>
      </c>
      <c r="E388" s="592">
        <v>1</v>
      </c>
      <c r="F388" s="592"/>
      <c r="G388" s="592">
        <v>540</v>
      </c>
      <c r="H388" s="592" t="s">
        <v>106</v>
      </c>
      <c r="I388" s="592" t="s">
        <v>499</v>
      </c>
      <c r="J388" s="592" t="s">
        <v>426</v>
      </c>
      <c r="K388" s="593" t="b">
        <f>FALSE</f>
        <v>0</v>
      </c>
      <c r="L388" s="594">
        <v>2015</v>
      </c>
      <c r="M388" s="595">
        <v>236</v>
      </c>
      <c r="N388" s="596">
        <v>41361</v>
      </c>
      <c r="O388" s="596">
        <v>41361</v>
      </c>
    </row>
    <row r="389" spans="1:15" ht="12.75">
      <c r="A389" s="590">
        <v>2013</v>
      </c>
      <c r="B389" s="591" t="s">
        <v>481</v>
      </c>
      <c r="C389" s="591" t="s">
        <v>482</v>
      </c>
      <c r="D389" s="592">
        <v>1021011</v>
      </c>
      <c r="E389" s="592">
        <v>1</v>
      </c>
      <c r="F389" s="592"/>
      <c r="G389" s="592">
        <v>540</v>
      </c>
      <c r="H389" s="592" t="s">
        <v>106</v>
      </c>
      <c r="I389" s="592" t="s">
        <v>499</v>
      </c>
      <c r="J389" s="592" t="s">
        <v>426</v>
      </c>
      <c r="K389" s="593" t="b">
        <f>FALSE</f>
        <v>0</v>
      </c>
      <c r="L389" s="594">
        <v>2016</v>
      </c>
      <c r="M389" s="595">
        <v>419</v>
      </c>
      <c r="N389" s="596">
        <v>41361</v>
      </c>
      <c r="O389" s="596">
        <v>41361</v>
      </c>
    </row>
    <row r="390" spans="1:15" ht="12.75">
      <c r="A390" s="590">
        <v>2013</v>
      </c>
      <c r="B390" s="591" t="s">
        <v>481</v>
      </c>
      <c r="C390" s="591" t="s">
        <v>482</v>
      </c>
      <c r="D390" s="592">
        <v>1021011</v>
      </c>
      <c r="E390" s="592">
        <v>1</v>
      </c>
      <c r="F390" s="592"/>
      <c r="G390" s="592">
        <v>540</v>
      </c>
      <c r="H390" s="592" t="s">
        <v>106</v>
      </c>
      <c r="I390" s="592" t="s">
        <v>499</v>
      </c>
      <c r="J390" s="592" t="s">
        <v>426</v>
      </c>
      <c r="K390" s="593" t="b">
        <f>FALSE</f>
        <v>0</v>
      </c>
      <c r="L390" s="594">
        <v>2017</v>
      </c>
      <c r="M390" s="595">
        <v>450</v>
      </c>
      <c r="N390" s="596">
        <v>41361</v>
      </c>
      <c r="O390" s="596">
        <v>41361</v>
      </c>
    </row>
    <row r="391" spans="1:15" ht="12.75">
      <c r="A391" s="590">
        <v>2013</v>
      </c>
      <c r="B391" s="591" t="s">
        <v>481</v>
      </c>
      <c r="C391" s="591" t="s">
        <v>482</v>
      </c>
      <c r="D391" s="592">
        <v>1021011</v>
      </c>
      <c r="E391" s="592">
        <v>1</v>
      </c>
      <c r="F391" s="592"/>
      <c r="G391" s="592">
        <v>540</v>
      </c>
      <c r="H391" s="592" t="s">
        <v>106</v>
      </c>
      <c r="I391" s="592" t="s">
        <v>499</v>
      </c>
      <c r="J391" s="592" t="s">
        <v>426</v>
      </c>
      <c r="K391" s="593" t="b">
        <f>FALSE</f>
        <v>0</v>
      </c>
      <c r="L391" s="594">
        <v>2018</v>
      </c>
      <c r="M391" s="595">
        <v>533</v>
      </c>
      <c r="N391" s="596">
        <v>41361</v>
      </c>
      <c r="O391" s="596">
        <v>41361</v>
      </c>
    </row>
    <row r="392" spans="1:15" ht="12.75">
      <c r="A392" s="590">
        <v>2013</v>
      </c>
      <c r="B392" s="591" t="s">
        <v>481</v>
      </c>
      <c r="C392" s="591" t="s">
        <v>482</v>
      </c>
      <c r="D392" s="592">
        <v>1021011</v>
      </c>
      <c r="E392" s="592">
        <v>1</v>
      </c>
      <c r="F392" s="592"/>
      <c r="G392" s="592">
        <v>540</v>
      </c>
      <c r="H392" s="592" t="s">
        <v>106</v>
      </c>
      <c r="I392" s="592" t="s">
        <v>499</v>
      </c>
      <c r="J392" s="592" t="s">
        <v>426</v>
      </c>
      <c r="K392" s="593" t="b">
        <f>FALSE</f>
        <v>0</v>
      </c>
      <c r="L392" s="594">
        <v>2019</v>
      </c>
      <c r="M392" s="595">
        <v>617</v>
      </c>
      <c r="N392" s="596">
        <v>41361</v>
      </c>
      <c r="O392" s="596">
        <v>41361</v>
      </c>
    </row>
    <row r="393" spans="1:15" ht="12.75">
      <c r="A393" s="590">
        <v>2013</v>
      </c>
      <c r="B393" s="591" t="s">
        <v>481</v>
      </c>
      <c r="C393" s="591" t="s">
        <v>482</v>
      </c>
      <c r="D393" s="592">
        <v>1021011</v>
      </c>
      <c r="E393" s="592">
        <v>1</v>
      </c>
      <c r="F393" s="592"/>
      <c r="G393" s="592">
        <v>540</v>
      </c>
      <c r="H393" s="592" t="s">
        <v>106</v>
      </c>
      <c r="I393" s="592" t="s">
        <v>499</v>
      </c>
      <c r="J393" s="592" t="s">
        <v>426</v>
      </c>
      <c r="K393" s="593" t="b">
        <f>FALSE</f>
        <v>0</v>
      </c>
      <c r="L393" s="594">
        <v>2020</v>
      </c>
      <c r="M393" s="595">
        <v>642</v>
      </c>
      <c r="N393" s="596">
        <v>41361</v>
      </c>
      <c r="O393" s="596">
        <v>41361</v>
      </c>
    </row>
    <row r="394" spans="1:15" ht="12.75">
      <c r="A394" s="590">
        <v>2013</v>
      </c>
      <c r="B394" s="591" t="s">
        <v>481</v>
      </c>
      <c r="C394" s="591" t="s">
        <v>482</v>
      </c>
      <c r="D394" s="592">
        <v>1021011</v>
      </c>
      <c r="E394" s="592">
        <v>1</v>
      </c>
      <c r="F394" s="592"/>
      <c r="G394" s="592">
        <v>540</v>
      </c>
      <c r="H394" s="592" t="s">
        <v>106</v>
      </c>
      <c r="I394" s="592" t="s">
        <v>499</v>
      </c>
      <c r="J394" s="592" t="s">
        <v>426</v>
      </c>
      <c r="K394" s="593" t="b">
        <f>FALSE</f>
        <v>0</v>
      </c>
      <c r="L394" s="594">
        <v>2021</v>
      </c>
      <c r="M394" s="595">
        <v>953</v>
      </c>
      <c r="N394" s="596">
        <v>41361</v>
      </c>
      <c r="O394" s="596">
        <v>41361</v>
      </c>
    </row>
    <row r="395" spans="1:15" ht="12.75">
      <c r="A395" s="590">
        <v>2013</v>
      </c>
      <c r="B395" s="591" t="s">
        <v>481</v>
      </c>
      <c r="C395" s="591" t="s">
        <v>482</v>
      </c>
      <c r="D395" s="592">
        <v>1021011</v>
      </c>
      <c r="E395" s="592">
        <v>1</v>
      </c>
      <c r="F395" s="592"/>
      <c r="G395" s="592">
        <v>540</v>
      </c>
      <c r="H395" s="592" t="s">
        <v>106</v>
      </c>
      <c r="I395" s="592" t="s">
        <v>499</v>
      </c>
      <c r="J395" s="592" t="s">
        <v>426</v>
      </c>
      <c r="K395" s="593" t="b">
        <f>FALSE</f>
        <v>0</v>
      </c>
      <c r="L395" s="594">
        <v>2022</v>
      </c>
      <c r="M395" s="595">
        <v>961</v>
      </c>
      <c r="N395" s="596">
        <v>41361</v>
      </c>
      <c r="O395" s="596">
        <v>41361</v>
      </c>
    </row>
    <row r="396" spans="1:15" ht="12.75">
      <c r="A396" s="590">
        <v>2013</v>
      </c>
      <c r="B396" s="591" t="s">
        <v>481</v>
      </c>
      <c r="C396" s="591" t="s">
        <v>482</v>
      </c>
      <c r="D396" s="592">
        <v>1021011</v>
      </c>
      <c r="E396" s="592">
        <v>1</v>
      </c>
      <c r="F396" s="592"/>
      <c r="G396" s="592">
        <v>540</v>
      </c>
      <c r="H396" s="592" t="s">
        <v>106</v>
      </c>
      <c r="I396" s="592" t="s">
        <v>499</v>
      </c>
      <c r="J396" s="592" t="s">
        <v>426</v>
      </c>
      <c r="K396" s="593" t="b">
        <f>FALSE</f>
        <v>0</v>
      </c>
      <c r="L396" s="594">
        <v>2023</v>
      </c>
      <c r="M396" s="595">
        <v>1276</v>
      </c>
      <c r="N396" s="596">
        <v>41361</v>
      </c>
      <c r="O396" s="596">
        <v>41361</v>
      </c>
    </row>
    <row r="397" spans="1:15" ht="12.75">
      <c r="A397" s="590">
        <v>2013</v>
      </c>
      <c r="B397" s="591" t="s">
        <v>481</v>
      </c>
      <c r="C397" s="591" t="s">
        <v>482</v>
      </c>
      <c r="D397" s="592">
        <v>1021011</v>
      </c>
      <c r="E397" s="592">
        <v>1</v>
      </c>
      <c r="F397" s="592"/>
      <c r="G397" s="592">
        <v>540</v>
      </c>
      <c r="H397" s="592" t="s">
        <v>106</v>
      </c>
      <c r="I397" s="592" t="s">
        <v>499</v>
      </c>
      <c r="J397" s="592" t="s">
        <v>426</v>
      </c>
      <c r="K397" s="593" t="b">
        <f>FALSE</f>
        <v>0</v>
      </c>
      <c r="L397" s="594">
        <v>2024</v>
      </c>
      <c r="M397" s="595">
        <v>1271</v>
      </c>
      <c r="N397" s="596">
        <v>41361</v>
      </c>
      <c r="O397" s="596">
        <v>41361</v>
      </c>
    </row>
    <row r="398" spans="1:15" ht="12.75">
      <c r="A398" s="590">
        <v>2013</v>
      </c>
      <c r="B398" s="591" t="s">
        <v>481</v>
      </c>
      <c r="C398" s="591" t="s">
        <v>482</v>
      </c>
      <c r="D398" s="592">
        <v>1021011</v>
      </c>
      <c r="E398" s="592">
        <v>1</v>
      </c>
      <c r="F398" s="592"/>
      <c r="G398" s="592">
        <v>540</v>
      </c>
      <c r="H398" s="592" t="s">
        <v>106</v>
      </c>
      <c r="I398" s="592" t="s">
        <v>499</v>
      </c>
      <c r="J398" s="592" t="s">
        <v>426</v>
      </c>
      <c r="K398" s="593" t="b">
        <f>FALSE</f>
        <v>0</v>
      </c>
      <c r="L398" s="594">
        <v>2025</v>
      </c>
      <c r="M398" s="595">
        <v>1264</v>
      </c>
      <c r="N398" s="596">
        <v>41361</v>
      </c>
      <c r="O398" s="596">
        <v>41361</v>
      </c>
    </row>
    <row r="399" spans="1:15" ht="12.75">
      <c r="A399" s="590">
        <v>2013</v>
      </c>
      <c r="B399" s="591" t="s">
        <v>481</v>
      </c>
      <c r="C399" s="591" t="s">
        <v>482</v>
      </c>
      <c r="D399" s="592">
        <v>1021011</v>
      </c>
      <c r="E399" s="592">
        <v>1</v>
      </c>
      <c r="F399" s="592"/>
      <c r="G399" s="592">
        <v>540</v>
      </c>
      <c r="H399" s="592" t="s">
        <v>106</v>
      </c>
      <c r="I399" s="592" t="s">
        <v>499</v>
      </c>
      <c r="J399" s="592" t="s">
        <v>426</v>
      </c>
      <c r="K399" s="593" t="b">
        <f>FALSE</f>
        <v>0</v>
      </c>
      <c r="L399" s="594">
        <v>2026</v>
      </c>
      <c r="M399" s="595">
        <v>1252</v>
      </c>
      <c r="N399" s="596">
        <v>41361</v>
      </c>
      <c r="O399" s="596">
        <v>41361</v>
      </c>
    </row>
    <row r="400" spans="1:15" ht="12.75">
      <c r="A400" s="590">
        <v>2013</v>
      </c>
      <c r="B400" s="591" t="s">
        <v>481</v>
      </c>
      <c r="C400" s="591" t="s">
        <v>482</v>
      </c>
      <c r="D400" s="592">
        <v>1021011</v>
      </c>
      <c r="E400" s="592">
        <v>1</v>
      </c>
      <c r="F400" s="592"/>
      <c r="G400" s="592">
        <v>540</v>
      </c>
      <c r="H400" s="592" t="s">
        <v>106</v>
      </c>
      <c r="I400" s="592" t="s">
        <v>499</v>
      </c>
      <c r="J400" s="592" t="s">
        <v>426</v>
      </c>
      <c r="K400" s="593" t="b">
        <f>FALSE</f>
        <v>0</v>
      </c>
      <c r="L400" s="594">
        <v>2027</v>
      </c>
      <c r="M400" s="595">
        <v>1234</v>
      </c>
      <c r="N400" s="596">
        <v>41361</v>
      </c>
      <c r="O400" s="596">
        <v>41361</v>
      </c>
    </row>
    <row r="401" spans="1:15" ht="12.75">
      <c r="A401" s="590">
        <v>2013</v>
      </c>
      <c r="B401" s="591" t="s">
        <v>481</v>
      </c>
      <c r="C401" s="591" t="s">
        <v>482</v>
      </c>
      <c r="D401" s="592">
        <v>1021011</v>
      </c>
      <c r="E401" s="592">
        <v>1</v>
      </c>
      <c r="F401" s="592"/>
      <c r="G401" s="592">
        <v>540</v>
      </c>
      <c r="H401" s="592" t="s">
        <v>106</v>
      </c>
      <c r="I401" s="592" t="s">
        <v>499</v>
      </c>
      <c r="J401" s="592" t="s">
        <v>426</v>
      </c>
      <c r="K401" s="593" t="b">
        <f>FALSE</f>
        <v>0</v>
      </c>
      <c r="L401" s="594">
        <v>2028</v>
      </c>
      <c r="M401" s="595">
        <v>1217</v>
      </c>
      <c r="N401" s="596">
        <v>41361</v>
      </c>
      <c r="O401" s="596">
        <v>41361</v>
      </c>
    </row>
    <row r="402" spans="1:15" ht="12.75">
      <c r="A402" s="590">
        <v>2013</v>
      </c>
      <c r="B402" s="591" t="s">
        <v>481</v>
      </c>
      <c r="C402" s="591" t="s">
        <v>482</v>
      </c>
      <c r="D402" s="592">
        <v>1021011</v>
      </c>
      <c r="E402" s="592">
        <v>1</v>
      </c>
      <c r="F402" s="592"/>
      <c r="G402" s="592">
        <v>540</v>
      </c>
      <c r="H402" s="592" t="s">
        <v>106</v>
      </c>
      <c r="I402" s="592" t="s">
        <v>499</v>
      </c>
      <c r="J402" s="592" t="s">
        <v>426</v>
      </c>
      <c r="K402" s="593" t="b">
        <f>FALSE</f>
        <v>0</v>
      </c>
      <c r="L402" s="594">
        <v>2029</v>
      </c>
      <c r="M402" s="595">
        <v>1199</v>
      </c>
      <c r="N402" s="596">
        <v>41361</v>
      </c>
      <c r="O402" s="596">
        <v>41361</v>
      </c>
    </row>
    <row r="403" spans="1:15" ht="12.75">
      <c r="A403" s="590">
        <v>2013</v>
      </c>
      <c r="B403" s="591" t="s">
        <v>481</v>
      </c>
      <c r="C403" s="591" t="s">
        <v>482</v>
      </c>
      <c r="D403" s="592">
        <v>1021011</v>
      </c>
      <c r="E403" s="592">
        <v>1</v>
      </c>
      <c r="F403" s="592"/>
      <c r="G403" s="592">
        <v>760</v>
      </c>
      <c r="H403" s="592">
        <v>12.4</v>
      </c>
      <c r="I403" s="592"/>
      <c r="J403" s="592" t="s">
        <v>446</v>
      </c>
      <c r="K403" s="593" t="b">
        <f>TRUE</f>
        <v>1</v>
      </c>
      <c r="L403" s="594">
        <v>2013</v>
      </c>
      <c r="M403" s="595">
        <v>735014.91</v>
      </c>
      <c r="N403" s="596">
        <v>41361</v>
      </c>
      <c r="O403" s="596">
        <v>41361</v>
      </c>
    </row>
    <row r="404" spans="1:15" ht="12.75">
      <c r="A404" s="590">
        <v>2013</v>
      </c>
      <c r="B404" s="591" t="s">
        <v>481</v>
      </c>
      <c r="C404" s="591" t="s">
        <v>482</v>
      </c>
      <c r="D404" s="592">
        <v>1021011</v>
      </c>
      <c r="E404" s="592">
        <v>1</v>
      </c>
      <c r="F404" s="592"/>
      <c r="G404" s="592">
        <v>190</v>
      </c>
      <c r="H404" s="592">
        <v>2.2</v>
      </c>
      <c r="I404" s="592"/>
      <c r="J404" s="592" t="s">
        <v>399</v>
      </c>
      <c r="K404" s="593" t="b">
        <f>FALSE</f>
        <v>0</v>
      </c>
      <c r="L404" s="594">
        <v>2013</v>
      </c>
      <c r="M404" s="595">
        <v>7143287.28</v>
      </c>
      <c r="N404" s="596">
        <v>41361</v>
      </c>
      <c r="O404" s="596">
        <v>41361</v>
      </c>
    </row>
    <row r="405" spans="1:15" ht="12.75">
      <c r="A405" s="590">
        <v>2013</v>
      </c>
      <c r="B405" s="591" t="s">
        <v>481</v>
      </c>
      <c r="C405" s="591" t="s">
        <v>482</v>
      </c>
      <c r="D405" s="592">
        <v>1021011</v>
      </c>
      <c r="E405" s="592">
        <v>1</v>
      </c>
      <c r="F405" s="592"/>
      <c r="G405" s="592">
        <v>190</v>
      </c>
      <c r="H405" s="592">
        <v>2.2</v>
      </c>
      <c r="I405" s="592"/>
      <c r="J405" s="592" t="s">
        <v>399</v>
      </c>
      <c r="K405" s="593" t="b">
        <f>FALSE</f>
        <v>0</v>
      </c>
      <c r="L405" s="594">
        <v>2014</v>
      </c>
      <c r="M405" s="595">
        <v>2543659.56</v>
      </c>
      <c r="N405" s="596">
        <v>41361</v>
      </c>
      <c r="O405" s="596">
        <v>41361</v>
      </c>
    </row>
    <row r="406" spans="1:15" ht="12.75">
      <c r="A406" s="590">
        <v>2013</v>
      </c>
      <c r="B406" s="591" t="s">
        <v>481</v>
      </c>
      <c r="C406" s="591" t="s">
        <v>482</v>
      </c>
      <c r="D406" s="592">
        <v>1021011</v>
      </c>
      <c r="E406" s="592">
        <v>1</v>
      </c>
      <c r="F406" s="592"/>
      <c r="G406" s="592">
        <v>190</v>
      </c>
      <c r="H406" s="592">
        <v>2.2</v>
      </c>
      <c r="I406" s="592"/>
      <c r="J406" s="592" t="s">
        <v>399</v>
      </c>
      <c r="K406" s="593" t="b">
        <f>FALSE</f>
        <v>0</v>
      </c>
      <c r="L406" s="594">
        <v>2015</v>
      </c>
      <c r="M406" s="595">
        <v>2000000</v>
      </c>
      <c r="N406" s="596">
        <v>41361</v>
      </c>
      <c r="O406" s="596">
        <v>41361</v>
      </c>
    </row>
    <row r="407" spans="1:15" ht="12.75">
      <c r="A407" s="590">
        <v>2013</v>
      </c>
      <c r="B407" s="591" t="s">
        <v>481</v>
      </c>
      <c r="C407" s="591" t="s">
        <v>482</v>
      </c>
      <c r="D407" s="592">
        <v>1021011</v>
      </c>
      <c r="E407" s="592">
        <v>1</v>
      </c>
      <c r="F407" s="592"/>
      <c r="G407" s="592">
        <v>190</v>
      </c>
      <c r="H407" s="592">
        <v>2.2</v>
      </c>
      <c r="I407" s="592"/>
      <c r="J407" s="592" t="s">
        <v>399</v>
      </c>
      <c r="K407" s="593" t="b">
        <f>FALSE</f>
        <v>0</v>
      </c>
      <c r="L407" s="594">
        <v>2016</v>
      </c>
      <c r="M407" s="595">
        <v>2080000</v>
      </c>
      <c r="N407" s="596">
        <v>41361</v>
      </c>
      <c r="O407" s="596">
        <v>41361</v>
      </c>
    </row>
    <row r="408" spans="1:15" ht="12.75">
      <c r="A408" s="590">
        <v>2013</v>
      </c>
      <c r="B408" s="591" t="s">
        <v>481</v>
      </c>
      <c r="C408" s="591" t="s">
        <v>482</v>
      </c>
      <c r="D408" s="592">
        <v>1021011</v>
      </c>
      <c r="E408" s="592">
        <v>1</v>
      </c>
      <c r="F408" s="592"/>
      <c r="G408" s="592">
        <v>190</v>
      </c>
      <c r="H408" s="592">
        <v>2.2</v>
      </c>
      <c r="I408" s="592"/>
      <c r="J408" s="592" t="s">
        <v>399</v>
      </c>
      <c r="K408" s="593" t="b">
        <f>FALSE</f>
        <v>0</v>
      </c>
      <c r="L408" s="594">
        <v>2017</v>
      </c>
      <c r="M408" s="595">
        <v>2010000</v>
      </c>
      <c r="N408" s="596">
        <v>41361</v>
      </c>
      <c r="O408" s="596">
        <v>41361</v>
      </c>
    </row>
    <row r="409" spans="1:15" ht="12.75">
      <c r="A409" s="590">
        <v>2013</v>
      </c>
      <c r="B409" s="591" t="s">
        <v>481</v>
      </c>
      <c r="C409" s="591" t="s">
        <v>482</v>
      </c>
      <c r="D409" s="592">
        <v>1021011</v>
      </c>
      <c r="E409" s="592">
        <v>1</v>
      </c>
      <c r="F409" s="592"/>
      <c r="G409" s="592">
        <v>190</v>
      </c>
      <c r="H409" s="592">
        <v>2.2</v>
      </c>
      <c r="I409" s="592"/>
      <c r="J409" s="592" t="s">
        <v>399</v>
      </c>
      <c r="K409" s="593" t="b">
        <f>FALSE</f>
        <v>0</v>
      </c>
      <c r="L409" s="594">
        <v>2018</v>
      </c>
      <c r="M409" s="595">
        <v>2170000</v>
      </c>
      <c r="N409" s="596">
        <v>41361</v>
      </c>
      <c r="O409" s="596">
        <v>41361</v>
      </c>
    </row>
    <row r="410" spans="1:15" ht="12.75">
      <c r="A410" s="590">
        <v>2013</v>
      </c>
      <c r="B410" s="591" t="s">
        <v>481</v>
      </c>
      <c r="C410" s="591" t="s">
        <v>482</v>
      </c>
      <c r="D410" s="592">
        <v>1021011</v>
      </c>
      <c r="E410" s="592">
        <v>1</v>
      </c>
      <c r="F410" s="592"/>
      <c r="G410" s="592">
        <v>190</v>
      </c>
      <c r="H410" s="592">
        <v>2.2</v>
      </c>
      <c r="I410" s="592"/>
      <c r="J410" s="592" t="s">
        <v>399</v>
      </c>
      <c r="K410" s="593" t="b">
        <f>FALSE</f>
        <v>0</v>
      </c>
      <c r="L410" s="594">
        <v>2019</v>
      </c>
      <c r="M410" s="595">
        <v>2330000</v>
      </c>
      <c r="N410" s="596">
        <v>41361</v>
      </c>
      <c r="O410" s="596">
        <v>41361</v>
      </c>
    </row>
    <row r="411" spans="1:15" ht="12.75">
      <c r="A411" s="590">
        <v>2013</v>
      </c>
      <c r="B411" s="591" t="s">
        <v>481</v>
      </c>
      <c r="C411" s="591" t="s">
        <v>482</v>
      </c>
      <c r="D411" s="592">
        <v>1021011</v>
      </c>
      <c r="E411" s="592">
        <v>1</v>
      </c>
      <c r="F411" s="592"/>
      <c r="G411" s="592">
        <v>190</v>
      </c>
      <c r="H411" s="592">
        <v>2.2</v>
      </c>
      <c r="I411" s="592"/>
      <c r="J411" s="592" t="s">
        <v>399</v>
      </c>
      <c r="K411" s="593" t="b">
        <f>FALSE</f>
        <v>0</v>
      </c>
      <c r="L411" s="594">
        <v>2020</v>
      </c>
      <c r="M411" s="595">
        <v>2360000</v>
      </c>
      <c r="N411" s="596">
        <v>41361</v>
      </c>
      <c r="O411" s="596">
        <v>41361</v>
      </c>
    </row>
    <row r="412" spans="1:15" ht="12.75">
      <c r="A412" s="590">
        <v>2013</v>
      </c>
      <c r="B412" s="591" t="s">
        <v>481</v>
      </c>
      <c r="C412" s="591" t="s">
        <v>482</v>
      </c>
      <c r="D412" s="592">
        <v>1021011</v>
      </c>
      <c r="E412" s="592">
        <v>1</v>
      </c>
      <c r="F412" s="592"/>
      <c r="G412" s="592">
        <v>190</v>
      </c>
      <c r="H412" s="592">
        <v>2.2</v>
      </c>
      <c r="I412" s="592"/>
      <c r="J412" s="592" t="s">
        <v>399</v>
      </c>
      <c r="K412" s="593" t="b">
        <f>FALSE</f>
        <v>0</v>
      </c>
      <c r="L412" s="594">
        <v>2021</v>
      </c>
      <c r="M412" s="595">
        <v>3390000</v>
      </c>
      <c r="N412" s="596">
        <v>41361</v>
      </c>
      <c r="O412" s="596">
        <v>41361</v>
      </c>
    </row>
    <row r="413" spans="1:15" ht="12.75">
      <c r="A413" s="590">
        <v>2013</v>
      </c>
      <c r="B413" s="591" t="s">
        <v>481</v>
      </c>
      <c r="C413" s="591" t="s">
        <v>482</v>
      </c>
      <c r="D413" s="592">
        <v>1021011</v>
      </c>
      <c r="E413" s="592">
        <v>1</v>
      </c>
      <c r="F413" s="592"/>
      <c r="G413" s="592">
        <v>510</v>
      </c>
      <c r="H413" s="592">
        <v>9.7</v>
      </c>
      <c r="I413" s="592"/>
      <c r="J413" s="592" t="s">
        <v>423</v>
      </c>
      <c r="K413" s="593" t="b">
        <f>TRUE</f>
        <v>1</v>
      </c>
      <c r="L413" s="594">
        <v>2013</v>
      </c>
      <c r="M413" s="595">
        <v>0.0537</v>
      </c>
      <c r="N413" s="596">
        <v>41361</v>
      </c>
      <c r="O413" s="596">
        <v>41361</v>
      </c>
    </row>
    <row r="414" spans="1:15" ht="12.75">
      <c r="A414" s="590">
        <v>2013</v>
      </c>
      <c r="B414" s="591" t="s">
        <v>481</v>
      </c>
      <c r="C414" s="591" t="s">
        <v>482</v>
      </c>
      <c r="D414" s="592">
        <v>1021011</v>
      </c>
      <c r="E414" s="592">
        <v>1</v>
      </c>
      <c r="F414" s="592"/>
      <c r="G414" s="592">
        <v>510</v>
      </c>
      <c r="H414" s="592">
        <v>9.7</v>
      </c>
      <c r="I414" s="592"/>
      <c r="J414" s="592" t="s">
        <v>423</v>
      </c>
      <c r="K414" s="593" t="b">
        <f>TRUE</f>
        <v>1</v>
      </c>
      <c r="L414" s="594">
        <v>2014</v>
      </c>
      <c r="M414" s="595">
        <v>0.0713</v>
      </c>
      <c r="N414" s="596">
        <v>41361</v>
      </c>
      <c r="O414" s="596">
        <v>41361</v>
      </c>
    </row>
    <row r="415" spans="1:15" ht="12.75">
      <c r="A415" s="590">
        <v>2013</v>
      </c>
      <c r="B415" s="591" t="s">
        <v>481</v>
      </c>
      <c r="C415" s="591" t="s">
        <v>482</v>
      </c>
      <c r="D415" s="592">
        <v>1021011</v>
      </c>
      <c r="E415" s="592">
        <v>1</v>
      </c>
      <c r="F415" s="592"/>
      <c r="G415" s="592">
        <v>510</v>
      </c>
      <c r="H415" s="592">
        <v>9.7</v>
      </c>
      <c r="I415" s="592"/>
      <c r="J415" s="592" t="s">
        <v>423</v>
      </c>
      <c r="K415" s="593" t="b">
        <f>TRUE</f>
        <v>1</v>
      </c>
      <c r="L415" s="594">
        <v>2015</v>
      </c>
      <c r="M415" s="595">
        <v>0.0883</v>
      </c>
      <c r="N415" s="596">
        <v>41361</v>
      </c>
      <c r="O415" s="596">
        <v>41361</v>
      </c>
    </row>
    <row r="416" spans="1:15" ht="12.75">
      <c r="A416" s="590">
        <v>2013</v>
      </c>
      <c r="B416" s="591" t="s">
        <v>481</v>
      </c>
      <c r="C416" s="591" t="s">
        <v>482</v>
      </c>
      <c r="D416" s="592">
        <v>1021011</v>
      </c>
      <c r="E416" s="592">
        <v>1</v>
      </c>
      <c r="F416" s="592"/>
      <c r="G416" s="592">
        <v>510</v>
      </c>
      <c r="H416" s="592">
        <v>9.7</v>
      </c>
      <c r="I416" s="592"/>
      <c r="J416" s="592" t="s">
        <v>423</v>
      </c>
      <c r="K416" s="593" t="b">
        <f>TRUE</f>
        <v>1</v>
      </c>
      <c r="L416" s="594">
        <v>2016</v>
      </c>
      <c r="M416" s="595">
        <v>0.1222</v>
      </c>
      <c r="N416" s="596">
        <v>41361</v>
      </c>
      <c r="O416" s="596">
        <v>41361</v>
      </c>
    </row>
    <row r="417" spans="1:15" ht="12.75">
      <c r="A417" s="590">
        <v>2013</v>
      </c>
      <c r="B417" s="591" t="s">
        <v>481</v>
      </c>
      <c r="C417" s="591" t="s">
        <v>482</v>
      </c>
      <c r="D417" s="592">
        <v>1021011</v>
      </c>
      <c r="E417" s="592">
        <v>1</v>
      </c>
      <c r="F417" s="592"/>
      <c r="G417" s="592">
        <v>510</v>
      </c>
      <c r="H417" s="592">
        <v>9.7</v>
      </c>
      <c r="I417" s="592"/>
      <c r="J417" s="592" t="s">
        <v>423</v>
      </c>
      <c r="K417" s="593" t="b">
        <f>TRUE</f>
        <v>1</v>
      </c>
      <c r="L417" s="594">
        <v>2017</v>
      </c>
      <c r="M417" s="595">
        <v>0.1263</v>
      </c>
      <c r="N417" s="596">
        <v>41361</v>
      </c>
      <c r="O417" s="596">
        <v>41361</v>
      </c>
    </row>
    <row r="418" spans="1:15" ht="12.75">
      <c r="A418" s="590">
        <v>2013</v>
      </c>
      <c r="B418" s="591" t="s">
        <v>481</v>
      </c>
      <c r="C418" s="591" t="s">
        <v>482</v>
      </c>
      <c r="D418" s="592">
        <v>1021011</v>
      </c>
      <c r="E418" s="592">
        <v>1</v>
      </c>
      <c r="F418" s="592"/>
      <c r="G418" s="592">
        <v>510</v>
      </c>
      <c r="H418" s="592">
        <v>9.7</v>
      </c>
      <c r="I418" s="592"/>
      <c r="J418" s="592" t="s">
        <v>423</v>
      </c>
      <c r="K418" s="593" t="b">
        <f>TRUE</f>
        <v>1</v>
      </c>
      <c r="L418" s="594">
        <v>2018</v>
      </c>
      <c r="M418" s="595">
        <v>0.1284</v>
      </c>
      <c r="N418" s="596">
        <v>41361</v>
      </c>
      <c r="O418" s="596">
        <v>41361</v>
      </c>
    </row>
    <row r="419" spans="1:15" ht="12.75">
      <c r="A419" s="590">
        <v>2013</v>
      </c>
      <c r="B419" s="591" t="s">
        <v>481</v>
      </c>
      <c r="C419" s="591" t="s">
        <v>482</v>
      </c>
      <c r="D419" s="592">
        <v>1021011</v>
      </c>
      <c r="E419" s="592">
        <v>1</v>
      </c>
      <c r="F419" s="592"/>
      <c r="G419" s="592">
        <v>510</v>
      </c>
      <c r="H419" s="592">
        <v>9.7</v>
      </c>
      <c r="I419" s="592"/>
      <c r="J419" s="592" t="s">
        <v>423</v>
      </c>
      <c r="K419" s="593" t="b">
        <f>TRUE</f>
        <v>1</v>
      </c>
      <c r="L419" s="594">
        <v>2019</v>
      </c>
      <c r="M419" s="595">
        <v>0.1308</v>
      </c>
      <c r="N419" s="596">
        <v>41361</v>
      </c>
      <c r="O419" s="596">
        <v>41361</v>
      </c>
    </row>
    <row r="420" spans="1:15" ht="12.75">
      <c r="A420" s="590">
        <v>2013</v>
      </c>
      <c r="B420" s="591" t="s">
        <v>481</v>
      </c>
      <c r="C420" s="591" t="s">
        <v>482</v>
      </c>
      <c r="D420" s="592">
        <v>1021011</v>
      </c>
      <c r="E420" s="592">
        <v>1</v>
      </c>
      <c r="F420" s="592"/>
      <c r="G420" s="592">
        <v>510</v>
      </c>
      <c r="H420" s="592">
        <v>9.7</v>
      </c>
      <c r="I420" s="592"/>
      <c r="J420" s="592" t="s">
        <v>423</v>
      </c>
      <c r="K420" s="593" t="b">
        <f>TRUE</f>
        <v>1</v>
      </c>
      <c r="L420" s="594">
        <v>2020</v>
      </c>
      <c r="M420" s="595">
        <v>0.1314</v>
      </c>
      <c r="N420" s="596">
        <v>41361</v>
      </c>
      <c r="O420" s="596">
        <v>41361</v>
      </c>
    </row>
    <row r="421" spans="1:15" ht="12.75">
      <c r="A421" s="590">
        <v>2013</v>
      </c>
      <c r="B421" s="591" t="s">
        <v>481</v>
      </c>
      <c r="C421" s="591" t="s">
        <v>482</v>
      </c>
      <c r="D421" s="592">
        <v>1021011</v>
      </c>
      <c r="E421" s="592">
        <v>1</v>
      </c>
      <c r="F421" s="592"/>
      <c r="G421" s="592">
        <v>510</v>
      </c>
      <c r="H421" s="592">
        <v>9.7</v>
      </c>
      <c r="I421" s="592"/>
      <c r="J421" s="592" t="s">
        <v>423</v>
      </c>
      <c r="K421" s="593" t="b">
        <f>TRUE</f>
        <v>1</v>
      </c>
      <c r="L421" s="594">
        <v>2021</v>
      </c>
      <c r="M421" s="595">
        <v>0.1309</v>
      </c>
      <c r="N421" s="596">
        <v>41361</v>
      </c>
      <c r="O421" s="596">
        <v>41361</v>
      </c>
    </row>
    <row r="422" spans="1:15" ht="12.75">
      <c r="A422" s="590">
        <v>2013</v>
      </c>
      <c r="B422" s="591" t="s">
        <v>481</v>
      </c>
      <c r="C422" s="591" t="s">
        <v>482</v>
      </c>
      <c r="D422" s="592">
        <v>1021011</v>
      </c>
      <c r="E422" s="592">
        <v>1</v>
      </c>
      <c r="F422" s="592"/>
      <c r="G422" s="592">
        <v>510</v>
      </c>
      <c r="H422" s="592">
        <v>9.7</v>
      </c>
      <c r="I422" s="592"/>
      <c r="J422" s="592" t="s">
        <v>423</v>
      </c>
      <c r="K422" s="593" t="b">
        <f>TRUE</f>
        <v>1</v>
      </c>
      <c r="L422" s="594">
        <v>2022</v>
      </c>
      <c r="M422" s="595">
        <v>0.1301</v>
      </c>
      <c r="N422" s="596">
        <v>41361</v>
      </c>
      <c r="O422" s="596">
        <v>41361</v>
      </c>
    </row>
    <row r="423" spans="1:15" ht="12.75">
      <c r="A423" s="590">
        <v>2013</v>
      </c>
      <c r="B423" s="591" t="s">
        <v>481</v>
      </c>
      <c r="C423" s="591" t="s">
        <v>482</v>
      </c>
      <c r="D423" s="592">
        <v>1021011</v>
      </c>
      <c r="E423" s="592">
        <v>1</v>
      </c>
      <c r="F423" s="592"/>
      <c r="G423" s="592">
        <v>505</v>
      </c>
      <c r="H423" s="592" t="s">
        <v>98</v>
      </c>
      <c r="I423" s="592" t="s">
        <v>498</v>
      </c>
      <c r="J423" s="592" t="s">
        <v>422</v>
      </c>
      <c r="K423" s="593" t="b">
        <f>FALSE</f>
        <v>0</v>
      </c>
      <c r="L423" s="594">
        <v>2021</v>
      </c>
      <c r="M423" s="595">
        <v>0.1291</v>
      </c>
      <c r="N423" s="596">
        <v>41361</v>
      </c>
      <c r="O423" s="596">
        <v>41361</v>
      </c>
    </row>
    <row r="424" spans="1:15" ht="12.75">
      <c r="A424" s="590">
        <v>2013</v>
      </c>
      <c r="B424" s="591" t="s">
        <v>481</v>
      </c>
      <c r="C424" s="591" t="s">
        <v>482</v>
      </c>
      <c r="D424" s="592">
        <v>1021011</v>
      </c>
      <c r="E424" s="592">
        <v>1</v>
      </c>
      <c r="F424" s="592"/>
      <c r="G424" s="592">
        <v>510</v>
      </c>
      <c r="H424" s="592">
        <v>9.7</v>
      </c>
      <c r="I424" s="592"/>
      <c r="J424" s="592" t="s">
        <v>423</v>
      </c>
      <c r="K424" s="593" t="b">
        <f>TRUE</f>
        <v>1</v>
      </c>
      <c r="L424" s="594">
        <v>2023</v>
      </c>
      <c r="M424" s="595">
        <v>0.1293</v>
      </c>
      <c r="N424" s="596">
        <v>41361</v>
      </c>
      <c r="O424" s="596">
        <v>41361</v>
      </c>
    </row>
    <row r="425" spans="1:15" ht="12.75">
      <c r="A425" s="590">
        <v>2013</v>
      </c>
      <c r="B425" s="591" t="s">
        <v>481</v>
      </c>
      <c r="C425" s="591" t="s">
        <v>482</v>
      </c>
      <c r="D425" s="592">
        <v>1021011</v>
      </c>
      <c r="E425" s="592">
        <v>1</v>
      </c>
      <c r="F425" s="592"/>
      <c r="G425" s="592">
        <v>510</v>
      </c>
      <c r="H425" s="592">
        <v>9.7</v>
      </c>
      <c r="I425" s="592"/>
      <c r="J425" s="592" t="s">
        <v>423</v>
      </c>
      <c r="K425" s="593" t="b">
        <f>TRUE</f>
        <v>1</v>
      </c>
      <c r="L425" s="594">
        <v>2024</v>
      </c>
      <c r="M425" s="595">
        <v>0.1288</v>
      </c>
      <c r="N425" s="596">
        <v>41361</v>
      </c>
      <c r="O425" s="596">
        <v>41361</v>
      </c>
    </row>
    <row r="426" spans="1:15" ht="12.75">
      <c r="A426" s="590">
        <v>2013</v>
      </c>
      <c r="B426" s="591" t="s">
        <v>481</v>
      </c>
      <c r="C426" s="591" t="s">
        <v>482</v>
      </c>
      <c r="D426" s="592">
        <v>1021011</v>
      </c>
      <c r="E426" s="592">
        <v>1</v>
      </c>
      <c r="F426" s="592"/>
      <c r="G426" s="592">
        <v>510</v>
      </c>
      <c r="H426" s="592">
        <v>9.7</v>
      </c>
      <c r="I426" s="592"/>
      <c r="J426" s="592" t="s">
        <v>423</v>
      </c>
      <c r="K426" s="593" t="b">
        <f>TRUE</f>
        <v>1</v>
      </c>
      <c r="L426" s="594">
        <v>2025</v>
      </c>
      <c r="M426" s="595">
        <v>0.128</v>
      </c>
      <c r="N426" s="596">
        <v>41361</v>
      </c>
      <c r="O426" s="596">
        <v>41361</v>
      </c>
    </row>
    <row r="427" spans="1:15" ht="12.75">
      <c r="A427" s="590">
        <v>2013</v>
      </c>
      <c r="B427" s="591" t="s">
        <v>481</v>
      </c>
      <c r="C427" s="591" t="s">
        <v>482</v>
      </c>
      <c r="D427" s="592">
        <v>1021011</v>
      </c>
      <c r="E427" s="592">
        <v>1</v>
      </c>
      <c r="F427" s="592"/>
      <c r="G427" s="592">
        <v>510</v>
      </c>
      <c r="H427" s="592">
        <v>9.7</v>
      </c>
      <c r="I427" s="592"/>
      <c r="J427" s="592" t="s">
        <v>423</v>
      </c>
      <c r="K427" s="593" t="b">
        <f>TRUE</f>
        <v>1</v>
      </c>
      <c r="L427" s="594">
        <v>2026</v>
      </c>
      <c r="M427" s="595">
        <v>0.1268</v>
      </c>
      <c r="N427" s="596">
        <v>41361</v>
      </c>
      <c r="O427" s="596">
        <v>41361</v>
      </c>
    </row>
    <row r="428" spans="1:15" ht="12.75">
      <c r="A428" s="590">
        <v>2013</v>
      </c>
      <c r="B428" s="591" t="s">
        <v>481</v>
      </c>
      <c r="C428" s="591" t="s">
        <v>482</v>
      </c>
      <c r="D428" s="592">
        <v>1021011</v>
      </c>
      <c r="E428" s="592">
        <v>1</v>
      </c>
      <c r="F428" s="592"/>
      <c r="G428" s="592">
        <v>510</v>
      </c>
      <c r="H428" s="592">
        <v>9.7</v>
      </c>
      <c r="I428" s="592"/>
      <c r="J428" s="592" t="s">
        <v>423</v>
      </c>
      <c r="K428" s="593" t="b">
        <f>TRUE</f>
        <v>1</v>
      </c>
      <c r="L428" s="594">
        <v>2027</v>
      </c>
      <c r="M428" s="595">
        <v>0.125</v>
      </c>
      <c r="N428" s="596">
        <v>41361</v>
      </c>
      <c r="O428" s="596">
        <v>41361</v>
      </c>
    </row>
    <row r="429" spans="1:15" ht="12.75">
      <c r="A429" s="590">
        <v>2013</v>
      </c>
      <c r="B429" s="591" t="s">
        <v>481</v>
      </c>
      <c r="C429" s="591" t="s">
        <v>482</v>
      </c>
      <c r="D429" s="592">
        <v>1021011</v>
      </c>
      <c r="E429" s="592">
        <v>1</v>
      </c>
      <c r="F429" s="592"/>
      <c r="G429" s="592">
        <v>510</v>
      </c>
      <c r="H429" s="592">
        <v>9.7</v>
      </c>
      <c r="I429" s="592"/>
      <c r="J429" s="592" t="s">
        <v>423</v>
      </c>
      <c r="K429" s="593" t="b">
        <f>TRUE</f>
        <v>1</v>
      </c>
      <c r="L429" s="594">
        <v>2028</v>
      </c>
      <c r="M429" s="595">
        <v>0.1233</v>
      </c>
      <c r="N429" s="596">
        <v>41361</v>
      </c>
      <c r="O429" s="596">
        <v>41361</v>
      </c>
    </row>
    <row r="430" spans="1:15" ht="12.75">
      <c r="A430" s="590">
        <v>2013</v>
      </c>
      <c r="B430" s="591" t="s">
        <v>481</v>
      </c>
      <c r="C430" s="591" t="s">
        <v>482</v>
      </c>
      <c r="D430" s="592">
        <v>1021011</v>
      </c>
      <c r="E430" s="592">
        <v>1</v>
      </c>
      <c r="F430" s="592"/>
      <c r="G430" s="592">
        <v>510</v>
      </c>
      <c r="H430" s="592">
        <v>9.7</v>
      </c>
      <c r="I430" s="592"/>
      <c r="J430" s="592" t="s">
        <v>423</v>
      </c>
      <c r="K430" s="593" t="b">
        <f>TRUE</f>
        <v>1</v>
      </c>
      <c r="L430" s="594">
        <v>2029</v>
      </c>
      <c r="M430" s="595">
        <v>0.1216</v>
      </c>
      <c r="N430" s="596">
        <v>41361</v>
      </c>
      <c r="O430" s="596">
        <v>41361</v>
      </c>
    </row>
    <row r="431" spans="1:15" ht="12.75">
      <c r="A431" s="590">
        <v>2013</v>
      </c>
      <c r="B431" s="591" t="s">
        <v>481</v>
      </c>
      <c r="C431" s="591" t="s">
        <v>482</v>
      </c>
      <c r="D431" s="592">
        <v>1021011</v>
      </c>
      <c r="E431" s="592">
        <v>1</v>
      </c>
      <c r="F431" s="592"/>
      <c r="G431" s="592">
        <v>505</v>
      </c>
      <c r="H431" s="592" t="s">
        <v>98</v>
      </c>
      <c r="I431" s="592" t="s">
        <v>498</v>
      </c>
      <c r="J431" s="592" t="s">
        <v>422</v>
      </c>
      <c r="K431" s="593" t="b">
        <f>FALSE</f>
        <v>0</v>
      </c>
      <c r="L431" s="594">
        <v>2013</v>
      </c>
      <c r="M431" s="595">
        <v>0.1173</v>
      </c>
      <c r="N431" s="596">
        <v>41361</v>
      </c>
      <c r="O431" s="596">
        <v>41361</v>
      </c>
    </row>
    <row r="432" spans="1:15" ht="12.75">
      <c r="A432" s="590">
        <v>2013</v>
      </c>
      <c r="B432" s="591" t="s">
        <v>481</v>
      </c>
      <c r="C432" s="591" t="s">
        <v>482</v>
      </c>
      <c r="D432" s="592">
        <v>1021011</v>
      </c>
      <c r="E432" s="592">
        <v>1</v>
      </c>
      <c r="F432" s="592"/>
      <c r="G432" s="592">
        <v>505</v>
      </c>
      <c r="H432" s="592" t="s">
        <v>98</v>
      </c>
      <c r="I432" s="592" t="s">
        <v>498</v>
      </c>
      <c r="J432" s="592" t="s">
        <v>422</v>
      </c>
      <c r="K432" s="593" t="b">
        <f>FALSE</f>
        <v>0</v>
      </c>
      <c r="L432" s="594">
        <v>2014</v>
      </c>
      <c r="M432" s="595">
        <v>0.1251</v>
      </c>
      <c r="N432" s="596">
        <v>41361</v>
      </c>
      <c r="O432" s="596">
        <v>41361</v>
      </c>
    </row>
    <row r="433" spans="1:15" ht="12.75">
      <c r="A433" s="590">
        <v>2013</v>
      </c>
      <c r="B433" s="591" t="s">
        <v>481</v>
      </c>
      <c r="C433" s="591" t="s">
        <v>482</v>
      </c>
      <c r="D433" s="592">
        <v>1021011</v>
      </c>
      <c r="E433" s="592">
        <v>1</v>
      </c>
      <c r="F433" s="592"/>
      <c r="G433" s="592">
        <v>505</v>
      </c>
      <c r="H433" s="592" t="s">
        <v>98</v>
      </c>
      <c r="I433" s="592" t="s">
        <v>498</v>
      </c>
      <c r="J433" s="592" t="s">
        <v>422</v>
      </c>
      <c r="K433" s="593" t="b">
        <f>FALSE</f>
        <v>0</v>
      </c>
      <c r="L433" s="594">
        <v>2015</v>
      </c>
      <c r="M433" s="595">
        <v>0.1242</v>
      </c>
      <c r="N433" s="596">
        <v>41361</v>
      </c>
      <c r="O433" s="596">
        <v>41361</v>
      </c>
    </row>
    <row r="434" spans="1:15" ht="12.75">
      <c r="A434" s="590">
        <v>2013</v>
      </c>
      <c r="B434" s="591" t="s">
        <v>481</v>
      </c>
      <c r="C434" s="591" t="s">
        <v>482</v>
      </c>
      <c r="D434" s="592">
        <v>1021011</v>
      </c>
      <c r="E434" s="592">
        <v>1</v>
      </c>
      <c r="F434" s="592"/>
      <c r="G434" s="592">
        <v>505</v>
      </c>
      <c r="H434" s="592" t="s">
        <v>98</v>
      </c>
      <c r="I434" s="592" t="s">
        <v>498</v>
      </c>
      <c r="J434" s="592" t="s">
        <v>422</v>
      </c>
      <c r="K434" s="593" t="b">
        <f>FALSE</f>
        <v>0</v>
      </c>
      <c r="L434" s="594">
        <v>2016</v>
      </c>
      <c r="M434" s="595">
        <v>0.1295</v>
      </c>
      <c r="N434" s="596">
        <v>41361</v>
      </c>
      <c r="O434" s="596">
        <v>41361</v>
      </c>
    </row>
    <row r="435" spans="1:15" ht="12.75">
      <c r="A435" s="590">
        <v>2013</v>
      </c>
      <c r="B435" s="591" t="s">
        <v>481</v>
      </c>
      <c r="C435" s="591" t="s">
        <v>482</v>
      </c>
      <c r="D435" s="592">
        <v>1021011</v>
      </c>
      <c r="E435" s="592">
        <v>1</v>
      </c>
      <c r="F435" s="592"/>
      <c r="G435" s="592">
        <v>505</v>
      </c>
      <c r="H435" s="592" t="s">
        <v>98</v>
      </c>
      <c r="I435" s="592" t="s">
        <v>498</v>
      </c>
      <c r="J435" s="592" t="s">
        <v>422</v>
      </c>
      <c r="K435" s="593" t="b">
        <f>FALSE</f>
        <v>0</v>
      </c>
      <c r="L435" s="594">
        <v>2017</v>
      </c>
      <c r="M435" s="595">
        <v>0.1316</v>
      </c>
      <c r="N435" s="596">
        <v>41361</v>
      </c>
      <c r="O435" s="596">
        <v>41361</v>
      </c>
    </row>
    <row r="436" spans="1:15" ht="12.75">
      <c r="A436" s="590">
        <v>2013</v>
      </c>
      <c r="B436" s="591" t="s">
        <v>481</v>
      </c>
      <c r="C436" s="591" t="s">
        <v>482</v>
      </c>
      <c r="D436" s="592">
        <v>1021011</v>
      </c>
      <c r="E436" s="592">
        <v>1</v>
      </c>
      <c r="F436" s="592"/>
      <c r="G436" s="592">
        <v>505</v>
      </c>
      <c r="H436" s="592" t="s">
        <v>98</v>
      </c>
      <c r="I436" s="592" t="s">
        <v>498</v>
      </c>
      <c r="J436" s="592" t="s">
        <v>422</v>
      </c>
      <c r="K436" s="593" t="b">
        <f>FALSE</f>
        <v>0</v>
      </c>
      <c r="L436" s="594">
        <v>2018</v>
      </c>
      <c r="M436" s="595">
        <v>0.1314</v>
      </c>
      <c r="N436" s="596">
        <v>41361</v>
      </c>
      <c r="O436" s="596">
        <v>41361</v>
      </c>
    </row>
    <row r="437" spans="1:15" ht="12.75">
      <c r="A437" s="590">
        <v>2013</v>
      </c>
      <c r="B437" s="591" t="s">
        <v>481</v>
      </c>
      <c r="C437" s="591" t="s">
        <v>482</v>
      </c>
      <c r="D437" s="592">
        <v>1021011</v>
      </c>
      <c r="E437" s="592">
        <v>1</v>
      </c>
      <c r="F437" s="592"/>
      <c r="G437" s="592">
        <v>505</v>
      </c>
      <c r="H437" s="592" t="s">
        <v>98</v>
      </c>
      <c r="I437" s="592" t="s">
        <v>498</v>
      </c>
      <c r="J437" s="592" t="s">
        <v>422</v>
      </c>
      <c r="K437" s="593" t="b">
        <f>FALSE</f>
        <v>0</v>
      </c>
      <c r="L437" s="594">
        <v>2019</v>
      </c>
      <c r="M437" s="595">
        <v>0.1312</v>
      </c>
      <c r="N437" s="596">
        <v>41361</v>
      </c>
      <c r="O437" s="596">
        <v>41361</v>
      </c>
    </row>
    <row r="438" spans="1:15" ht="12.75">
      <c r="A438" s="590">
        <v>2013</v>
      </c>
      <c r="B438" s="591" t="s">
        <v>481</v>
      </c>
      <c r="C438" s="591" t="s">
        <v>482</v>
      </c>
      <c r="D438" s="592">
        <v>1021011</v>
      </c>
      <c r="E438" s="592">
        <v>1</v>
      </c>
      <c r="F438" s="592"/>
      <c r="G438" s="592">
        <v>505</v>
      </c>
      <c r="H438" s="592" t="s">
        <v>98</v>
      </c>
      <c r="I438" s="592" t="s">
        <v>498</v>
      </c>
      <c r="J438" s="592" t="s">
        <v>422</v>
      </c>
      <c r="K438" s="593" t="b">
        <f>FALSE</f>
        <v>0</v>
      </c>
      <c r="L438" s="594">
        <v>2020</v>
      </c>
      <c r="M438" s="595">
        <v>0.1301</v>
      </c>
      <c r="N438" s="596">
        <v>41361</v>
      </c>
      <c r="O438" s="596">
        <v>41361</v>
      </c>
    </row>
    <row r="439" spans="1:15" ht="12.75">
      <c r="A439" s="590">
        <v>2013</v>
      </c>
      <c r="B439" s="591" t="s">
        <v>481</v>
      </c>
      <c r="C439" s="591" t="s">
        <v>482</v>
      </c>
      <c r="D439" s="592">
        <v>1021011</v>
      </c>
      <c r="E439" s="592">
        <v>1</v>
      </c>
      <c r="F439" s="592"/>
      <c r="G439" s="592">
        <v>505</v>
      </c>
      <c r="H439" s="592" t="s">
        <v>98</v>
      </c>
      <c r="I439" s="592" t="s">
        <v>498</v>
      </c>
      <c r="J439" s="592" t="s">
        <v>422</v>
      </c>
      <c r="K439" s="593" t="b">
        <f>FALSE</f>
        <v>0</v>
      </c>
      <c r="L439" s="594">
        <v>2025</v>
      </c>
      <c r="M439" s="595">
        <v>0.125</v>
      </c>
      <c r="N439" s="596">
        <v>41361</v>
      </c>
      <c r="O439" s="596">
        <v>41361</v>
      </c>
    </row>
    <row r="440" spans="1:15" ht="12.75">
      <c r="A440" s="590">
        <v>2013</v>
      </c>
      <c r="B440" s="591" t="s">
        <v>481</v>
      </c>
      <c r="C440" s="591" t="s">
        <v>482</v>
      </c>
      <c r="D440" s="592">
        <v>1021011</v>
      </c>
      <c r="E440" s="592">
        <v>1</v>
      </c>
      <c r="F440" s="592"/>
      <c r="G440" s="592">
        <v>505</v>
      </c>
      <c r="H440" s="592" t="s">
        <v>98</v>
      </c>
      <c r="I440" s="592" t="s">
        <v>498</v>
      </c>
      <c r="J440" s="592" t="s">
        <v>422</v>
      </c>
      <c r="K440" s="593" t="b">
        <f>FALSE</f>
        <v>0</v>
      </c>
      <c r="L440" s="594">
        <v>2026</v>
      </c>
      <c r="M440" s="595">
        <v>0.1233</v>
      </c>
      <c r="N440" s="596">
        <v>41361</v>
      </c>
      <c r="O440" s="596">
        <v>41361</v>
      </c>
    </row>
    <row r="441" spans="1:15" ht="12.75">
      <c r="A441" s="590">
        <v>2013</v>
      </c>
      <c r="B441" s="591" t="s">
        <v>481</v>
      </c>
      <c r="C441" s="591" t="s">
        <v>482</v>
      </c>
      <c r="D441" s="592">
        <v>1021011</v>
      </c>
      <c r="E441" s="592">
        <v>1</v>
      </c>
      <c r="F441" s="592"/>
      <c r="G441" s="592">
        <v>505</v>
      </c>
      <c r="H441" s="592" t="s">
        <v>98</v>
      </c>
      <c r="I441" s="592" t="s">
        <v>498</v>
      </c>
      <c r="J441" s="592" t="s">
        <v>422</v>
      </c>
      <c r="K441" s="593" t="b">
        <f>FALSE</f>
        <v>0</v>
      </c>
      <c r="L441" s="594">
        <v>2027</v>
      </c>
      <c r="M441" s="595">
        <v>0.1216</v>
      </c>
      <c r="N441" s="596">
        <v>41361</v>
      </c>
      <c r="O441" s="596">
        <v>41361</v>
      </c>
    </row>
    <row r="442" spans="1:15" ht="12.75">
      <c r="A442" s="590">
        <v>2013</v>
      </c>
      <c r="B442" s="591" t="s">
        <v>481</v>
      </c>
      <c r="C442" s="591" t="s">
        <v>482</v>
      </c>
      <c r="D442" s="592">
        <v>1021011</v>
      </c>
      <c r="E442" s="592">
        <v>1</v>
      </c>
      <c r="F442" s="592"/>
      <c r="G442" s="592">
        <v>505</v>
      </c>
      <c r="H442" s="592" t="s">
        <v>98</v>
      </c>
      <c r="I442" s="592" t="s">
        <v>498</v>
      </c>
      <c r="J442" s="592" t="s">
        <v>422</v>
      </c>
      <c r="K442" s="593" t="b">
        <f>FALSE</f>
        <v>0</v>
      </c>
      <c r="L442" s="594">
        <v>2028</v>
      </c>
      <c r="M442" s="595">
        <v>0.12</v>
      </c>
      <c r="N442" s="596">
        <v>41361</v>
      </c>
      <c r="O442" s="596">
        <v>41361</v>
      </c>
    </row>
    <row r="443" spans="1:15" ht="12.75">
      <c r="A443" s="590">
        <v>2013</v>
      </c>
      <c r="B443" s="591" t="s">
        <v>481</v>
      </c>
      <c r="C443" s="591" t="s">
        <v>482</v>
      </c>
      <c r="D443" s="592">
        <v>1021011</v>
      </c>
      <c r="E443" s="592">
        <v>1</v>
      </c>
      <c r="F443" s="592"/>
      <c r="G443" s="592">
        <v>505</v>
      </c>
      <c r="H443" s="592" t="s">
        <v>98</v>
      </c>
      <c r="I443" s="592" t="s">
        <v>498</v>
      </c>
      <c r="J443" s="592" t="s">
        <v>422</v>
      </c>
      <c r="K443" s="593" t="b">
        <f>FALSE</f>
        <v>0</v>
      </c>
      <c r="L443" s="594">
        <v>2029</v>
      </c>
      <c r="M443" s="595">
        <v>0.1184</v>
      </c>
      <c r="N443" s="596">
        <v>41361</v>
      </c>
      <c r="O443" s="596">
        <v>41361</v>
      </c>
    </row>
    <row r="444" spans="1:15" ht="12.75">
      <c r="A444" s="590">
        <v>2013</v>
      </c>
      <c r="B444" s="591" t="s">
        <v>481</v>
      </c>
      <c r="C444" s="591" t="s">
        <v>482</v>
      </c>
      <c r="D444" s="592">
        <v>1021011</v>
      </c>
      <c r="E444" s="592">
        <v>1</v>
      </c>
      <c r="F444" s="592"/>
      <c r="G444" s="592">
        <v>140</v>
      </c>
      <c r="H444" s="592" t="s">
        <v>33</v>
      </c>
      <c r="I444" s="592"/>
      <c r="J444" s="592" t="s">
        <v>394</v>
      </c>
      <c r="K444" s="593" t="b">
        <f>TRUE</f>
        <v>1</v>
      </c>
      <c r="L444" s="594">
        <v>2013</v>
      </c>
      <c r="M444" s="595">
        <v>110000</v>
      </c>
      <c r="N444" s="596">
        <v>41361</v>
      </c>
      <c r="O444" s="596">
        <v>41361</v>
      </c>
    </row>
    <row r="445" spans="1:15" ht="12.75">
      <c r="A445" s="590">
        <v>2013</v>
      </c>
      <c r="B445" s="591" t="s">
        <v>481</v>
      </c>
      <c r="C445" s="591" t="s">
        <v>482</v>
      </c>
      <c r="D445" s="592">
        <v>1021011</v>
      </c>
      <c r="E445" s="592">
        <v>1</v>
      </c>
      <c r="F445" s="592"/>
      <c r="G445" s="592">
        <v>140</v>
      </c>
      <c r="H445" s="592" t="s">
        <v>33</v>
      </c>
      <c r="I445" s="592"/>
      <c r="J445" s="592" t="s">
        <v>394</v>
      </c>
      <c r="K445" s="593" t="b">
        <f>TRUE</f>
        <v>1</v>
      </c>
      <c r="L445" s="594">
        <v>2014</v>
      </c>
      <c r="M445" s="595">
        <v>110000</v>
      </c>
      <c r="N445" s="596">
        <v>41361</v>
      </c>
      <c r="O445" s="596">
        <v>41361</v>
      </c>
    </row>
    <row r="446" spans="1:15" ht="12.75">
      <c r="A446" s="590">
        <v>2013</v>
      </c>
      <c r="B446" s="591" t="s">
        <v>481</v>
      </c>
      <c r="C446" s="591" t="s">
        <v>482</v>
      </c>
      <c r="D446" s="592">
        <v>1021011</v>
      </c>
      <c r="E446" s="592">
        <v>1</v>
      </c>
      <c r="F446" s="592"/>
      <c r="G446" s="592">
        <v>140</v>
      </c>
      <c r="H446" s="592" t="s">
        <v>33</v>
      </c>
      <c r="I446" s="592"/>
      <c r="J446" s="592" t="s">
        <v>394</v>
      </c>
      <c r="K446" s="593" t="b">
        <f>TRUE</f>
        <v>1</v>
      </c>
      <c r="L446" s="594">
        <v>2015</v>
      </c>
      <c r="M446" s="595">
        <v>110000</v>
      </c>
      <c r="N446" s="596">
        <v>41361</v>
      </c>
      <c r="O446" s="596">
        <v>41361</v>
      </c>
    </row>
    <row r="447" spans="1:15" ht="12.75">
      <c r="A447" s="590">
        <v>2013</v>
      </c>
      <c r="B447" s="591" t="s">
        <v>481</v>
      </c>
      <c r="C447" s="591" t="s">
        <v>482</v>
      </c>
      <c r="D447" s="592">
        <v>1021011</v>
      </c>
      <c r="E447" s="592">
        <v>1</v>
      </c>
      <c r="F447" s="592"/>
      <c r="G447" s="592">
        <v>140</v>
      </c>
      <c r="H447" s="592" t="s">
        <v>33</v>
      </c>
      <c r="I447" s="592"/>
      <c r="J447" s="592" t="s">
        <v>394</v>
      </c>
      <c r="K447" s="593" t="b">
        <f>TRUE</f>
        <v>1</v>
      </c>
      <c r="L447" s="594">
        <v>2016</v>
      </c>
      <c r="M447" s="595">
        <v>110000</v>
      </c>
      <c r="N447" s="596">
        <v>41361</v>
      </c>
      <c r="O447" s="596">
        <v>41361</v>
      </c>
    </row>
    <row r="448" spans="1:15" ht="12.75">
      <c r="A448" s="590">
        <v>2013</v>
      </c>
      <c r="B448" s="591" t="s">
        <v>481</v>
      </c>
      <c r="C448" s="591" t="s">
        <v>482</v>
      </c>
      <c r="D448" s="592">
        <v>1021011</v>
      </c>
      <c r="E448" s="592">
        <v>1</v>
      </c>
      <c r="F448" s="592"/>
      <c r="G448" s="592">
        <v>140</v>
      </c>
      <c r="H448" s="592" t="s">
        <v>33</v>
      </c>
      <c r="I448" s="592"/>
      <c r="J448" s="592" t="s">
        <v>394</v>
      </c>
      <c r="K448" s="593" t="b">
        <f>TRUE</f>
        <v>1</v>
      </c>
      <c r="L448" s="594">
        <v>2017</v>
      </c>
      <c r="M448" s="595">
        <v>110000</v>
      </c>
      <c r="N448" s="596">
        <v>41361</v>
      </c>
      <c r="O448" s="596">
        <v>41361</v>
      </c>
    </row>
    <row r="449" spans="1:15" ht="12.75">
      <c r="A449" s="590">
        <v>2013</v>
      </c>
      <c r="B449" s="591" t="s">
        <v>481</v>
      </c>
      <c r="C449" s="591" t="s">
        <v>482</v>
      </c>
      <c r="D449" s="592">
        <v>1021011</v>
      </c>
      <c r="E449" s="592">
        <v>1</v>
      </c>
      <c r="F449" s="592"/>
      <c r="G449" s="592">
        <v>140</v>
      </c>
      <c r="H449" s="592" t="s">
        <v>33</v>
      </c>
      <c r="I449" s="592"/>
      <c r="J449" s="592" t="s">
        <v>394</v>
      </c>
      <c r="K449" s="593" t="b">
        <f>TRUE</f>
        <v>1</v>
      </c>
      <c r="L449" s="594">
        <v>2018</v>
      </c>
      <c r="M449" s="595">
        <v>110000</v>
      </c>
      <c r="N449" s="596">
        <v>41361</v>
      </c>
      <c r="O449" s="596">
        <v>41361</v>
      </c>
    </row>
    <row r="450" spans="1:15" ht="12.75">
      <c r="A450" s="590">
        <v>2013</v>
      </c>
      <c r="B450" s="591" t="s">
        <v>481</v>
      </c>
      <c r="C450" s="591" t="s">
        <v>482</v>
      </c>
      <c r="D450" s="592">
        <v>1021011</v>
      </c>
      <c r="E450" s="592">
        <v>1</v>
      </c>
      <c r="F450" s="592"/>
      <c r="G450" s="592">
        <v>140</v>
      </c>
      <c r="H450" s="592" t="s">
        <v>33</v>
      </c>
      <c r="I450" s="592"/>
      <c r="J450" s="592" t="s">
        <v>394</v>
      </c>
      <c r="K450" s="593" t="b">
        <f>TRUE</f>
        <v>1</v>
      </c>
      <c r="L450" s="594">
        <v>2019</v>
      </c>
      <c r="M450" s="595">
        <v>110000</v>
      </c>
      <c r="N450" s="596">
        <v>41361</v>
      </c>
      <c r="O450" s="596">
        <v>41361</v>
      </c>
    </row>
    <row r="451" spans="1:15" ht="12.75">
      <c r="A451" s="590">
        <v>2013</v>
      </c>
      <c r="B451" s="591" t="s">
        <v>481</v>
      </c>
      <c r="C451" s="591" t="s">
        <v>482</v>
      </c>
      <c r="D451" s="592">
        <v>1021011</v>
      </c>
      <c r="E451" s="592">
        <v>1</v>
      </c>
      <c r="F451" s="592"/>
      <c r="G451" s="592">
        <v>140</v>
      </c>
      <c r="H451" s="592" t="s">
        <v>33</v>
      </c>
      <c r="I451" s="592"/>
      <c r="J451" s="592" t="s">
        <v>394</v>
      </c>
      <c r="K451" s="593" t="b">
        <f>TRUE</f>
        <v>1</v>
      </c>
      <c r="L451" s="594">
        <v>2020</v>
      </c>
      <c r="M451" s="595">
        <v>110000</v>
      </c>
      <c r="N451" s="596">
        <v>41361</v>
      </c>
      <c r="O451" s="596">
        <v>41361</v>
      </c>
    </row>
    <row r="452" spans="1:15" ht="12.75">
      <c r="A452" s="590">
        <v>2013</v>
      </c>
      <c r="B452" s="591" t="s">
        <v>481</v>
      </c>
      <c r="C452" s="591" t="s">
        <v>482</v>
      </c>
      <c r="D452" s="592">
        <v>1021011</v>
      </c>
      <c r="E452" s="592">
        <v>1</v>
      </c>
      <c r="F452" s="592"/>
      <c r="G452" s="592">
        <v>140</v>
      </c>
      <c r="H452" s="592" t="s">
        <v>33</v>
      </c>
      <c r="I452" s="592"/>
      <c r="J452" s="592" t="s">
        <v>394</v>
      </c>
      <c r="K452" s="593" t="b">
        <f>TRUE</f>
        <v>1</v>
      </c>
      <c r="L452" s="594">
        <v>2021</v>
      </c>
      <c r="M452" s="595">
        <v>101000</v>
      </c>
      <c r="N452" s="596">
        <v>41361</v>
      </c>
      <c r="O452" s="596">
        <v>41361</v>
      </c>
    </row>
    <row r="453" spans="1:15" ht="12.75">
      <c r="A453" s="590">
        <v>2013</v>
      </c>
      <c r="B453" s="591" t="s">
        <v>481</v>
      </c>
      <c r="C453" s="591" t="s">
        <v>482</v>
      </c>
      <c r="D453" s="592">
        <v>1021011</v>
      </c>
      <c r="E453" s="592">
        <v>1</v>
      </c>
      <c r="F453" s="592"/>
      <c r="G453" s="592">
        <v>140</v>
      </c>
      <c r="H453" s="592" t="s">
        <v>33</v>
      </c>
      <c r="I453" s="592"/>
      <c r="J453" s="592" t="s">
        <v>394</v>
      </c>
      <c r="K453" s="593" t="b">
        <f>TRUE</f>
        <v>1</v>
      </c>
      <c r="L453" s="594">
        <v>2022</v>
      </c>
      <c r="M453" s="595">
        <v>59000</v>
      </c>
      <c r="N453" s="596">
        <v>41361</v>
      </c>
      <c r="O453" s="596">
        <v>41361</v>
      </c>
    </row>
    <row r="454" spans="1:15" ht="12.75">
      <c r="A454" s="590">
        <v>2013</v>
      </c>
      <c r="B454" s="591" t="s">
        <v>481</v>
      </c>
      <c r="C454" s="591" t="s">
        <v>482</v>
      </c>
      <c r="D454" s="592">
        <v>1021011</v>
      </c>
      <c r="E454" s="592">
        <v>1</v>
      </c>
      <c r="F454" s="592"/>
      <c r="G454" s="592">
        <v>140</v>
      </c>
      <c r="H454" s="592" t="s">
        <v>33</v>
      </c>
      <c r="I454" s="592"/>
      <c r="J454" s="592" t="s">
        <v>394</v>
      </c>
      <c r="K454" s="593" t="b">
        <f>TRUE</f>
        <v>1</v>
      </c>
      <c r="L454" s="594">
        <v>2023</v>
      </c>
      <c r="M454" s="595">
        <v>59000</v>
      </c>
      <c r="N454" s="596">
        <v>41361</v>
      </c>
      <c r="O454" s="596">
        <v>41361</v>
      </c>
    </row>
    <row r="455" spans="1:15" ht="12.75">
      <c r="A455" s="590">
        <v>2013</v>
      </c>
      <c r="B455" s="591" t="s">
        <v>481</v>
      </c>
      <c r="C455" s="591" t="s">
        <v>482</v>
      </c>
      <c r="D455" s="592">
        <v>1021011</v>
      </c>
      <c r="E455" s="592">
        <v>1</v>
      </c>
      <c r="F455" s="592"/>
      <c r="G455" s="592">
        <v>140</v>
      </c>
      <c r="H455" s="592" t="s">
        <v>33</v>
      </c>
      <c r="I455" s="592"/>
      <c r="J455" s="592" t="s">
        <v>394</v>
      </c>
      <c r="K455" s="593" t="b">
        <f>TRUE</f>
        <v>1</v>
      </c>
      <c r="L455" s="594">
        <v>2024</v>
      </c>
      <c r="M455" s="595">
        <v>59000</v>
      </c>
      <c r="N455" s="596">
        <v>41361</v>
      </c>
      <c r="O455" s="596">
        <v>41361</v>
      </c>
    </row>
    <row r="456" spans="1:15" ht="12.75">
      <c r="A456" s="590">
        <v>2013</v>
      </c>
      <c r="B456" s="591" t="s">
        <v>481</v>
      </c>
      <c r="C456" s="591" t="s">
        <v>482</v>
      </c>
      <c r="D456" s="592">
        <v>1021011</v>
      </c>
      <c r="E456" s="592">
        <v>1</v>
      </c>
      <c r="F456" s="592"/>
      <c r="G456" s="592">
        <v>140</v>
      </c>
      <c r="H456" s="592" t="s">
        <v>33</v>
      </c>
      <c r="I456" s="592"/>
      <c r="J456" s="592" t="s">
        <v>394</v>
      </c>
      <c r="K456" s="593" t="b">
        <f>TRUE</f>
        <v>1</v>
      </c>
      <c r="L456" s="594">
        <v>2025</v>
      </c>
      <c r="M456" s="595">
        <v>59000</v>
      </c>
      <c r="N456" s="596">
        <v>41361</v>
      </c>
      <c r="O456" s="596">
        <v>41361</v>
      </c>
    </row>
    <row r="457" spans="1:15" ht="12.75">
      <c r="A457" s="590">
        <v>2013</v>
      </c>
      <c r="B457" s="591" t="s">
        <v>481</v>
      </c>
      <c r="C457" s="591" t="s">
        <v>482</v>
      </c>
      <c r="D457" s="592">
        <v>1021011</v>
      </c>
      <c r="E457" s="592">
        <v>1</v>
      </c>
      <c r="F457" s="592"/>
      <c r="G457" s="592">
        <v>140</v>
      </c>
      <c r="H457" s="592" t="s">
        <v>33</v>
      </c>
      <c r="I457" s="592"/>
      <c r="J457" s="592" t="s">
        <v>394</v>
      </c>
      <c r="K457" s="593" t="b">
        <f>TRUE</f>
        <v>1</v>
      </c>
      <c r="L457" s="594">
        <v>2026</v>
      </c>
      <c r="M457" s="595">
        <v>59000</v>
      </c>
      <c r="N457" s="596">
        <v>41361</v>
      </c>
      <c r="O457" s="596">
        <v>41361</v>
      </c>
    </row>
    <row r="458" spans="1:15" ht="12.75">
      <c r="A458" s="590">
        <v>2013</v>
      </c>
      <c r="B458" s="591" t="s">
        <v>481</v>
      </c>
      <c r="C458" s="591" t="s">
        <v>482</v>
      </c>
      <c r="D458" s="592">
        <v>1021011</v>
      </c>
      <c r="E458" s="592">
        <v>1</v>
      </c>
      <c r="F458" s="592"/>
      <c r="G458" s="592">
        <v>140</v>
      </c>
      <c r="H458" s="592" t="s">
        <v>33</v>
      </c>
      <c r="I458" s="592"/>
      <c r="J458" s="592" t="s">
        <v>394</v>
      </c>
      <c r="K458" s="593" t="b">
        <f>TRUE</f>
        <v>1</v>
      </c>
      <c r="L458" s="594">
        <v>2027</v>
      </c>
      <c r="M458" s="595">
        <v>59000</v>
      </c>
      <c r="N458" s="596">
        <v>41361</v>
      </c>
      <c r="O458" s="596">
        <v>41361</v>
      </c>
    </row>
    <row r="459" spans="1:15" ht="12.75">
      <c r="A459" s="590">
        <v>2013</v>
      </c>
      <c r="B459" s="591" t="s">
        <v>481</v>
      </c>
      <c r="C459" s="591" t="s">
        <v>482</v>
      </c>
      <c r="D459" s="592">
        <v>1021011</v>
      </c>
      <c r="E459" s="592">
        <v>1</v>
      </c>
      <c r="F459" s="592"/>
      <c r="G459" s="592">
        <v>140</v>
      </c>
      <c r="H459" s="592" t="s">
        <v>33</v>
      </c>
      <c r="I459" s="592"/>
      <c r="J459" s="592" t="s">
        <v>394</v>
      </c>
      <c r="K459" s="593" t="b">
        <f>TRUE</f>
        <v>1</v>
      </c>
      <c r="L459" s="594">
        <v>2028</v>
      </c>
      <c r="M459" s="595">
        <v>59000</v>
      </c>
      <c r="N459" s="596">
        <v>41361</v>
      </c>
      <c r="O459" s="596">
        <v>41361</v>
      </c>
    </row>
    <row r="460" spans="1:15" ht="12.75">
      <c r="A460" s="590">
        <v>2013</v>
      </c>
      <c r="B460" s="591" t="s">
        <v>481</v>
      </c>
      <c r="C460" s="591" t="s">
        <v>482</v>
      </c>
      <c r="D460" s="592">
        <v>1021011</v>
      </c>
      <c r="E460" s="592">
        <v>1</v>
      </c>
      <c r="F460" s="592"/>
      <c r="G460" s="592">
        <v>140</v>
      </c>
      <c r="H460" s="592" t="s">
        <v>33</v>
      </c>
      <c r="I460" s="592"/>
      <c r="J460" s="592" t="s">
        <v>394</v>
      </c>
      <c r="K460" s="593" t="b">
        <f>TRUE</f>
        <v>1</v>
      </c>
      <c r="L460" s="594">
        <v>2029</v>
      </c>
      <c r="M460" s="595">
        <v>64000</v>
      </c>
      <c r="N460" s="596">
        <v>41361</v>
      </c>
      <c r="O460" s="596">
        <v>41361</v>
      </c>
    </row>
    <row r="461" spans="1:15" ht="12.75">
      <c r="A461" s="590">
        <v>2013</v>
      </c>
      <c r="B461" s="591" t="s">
        <v>481</v>
      </c>
      <c r="C461" s="591" t="s">
        <v>482</v>
      </c>
      <c r="D461" s="592">
        <v>1021011</v>
      </c>
      <c r="E461" s="592">
        <v>1</v>
      </c>
      <c r="F461" s="592"/>
      <c r="G461" s="592">
        <v>740</v>
      </c>
      <c r="H461" s="592" t="s">
        <v>142</v>
      </c>
      <c r="I461" s="592"/>
      <c r="J461" s="592" t="s">
        <v>444</v>
      </c>
      <c r="K461" s="593" t="b">
        <f>FALSE</f>
        <v>0</v>
      </c>
      <c r="L461" s="594">
        <v>2013</v>
      </c>
      <c r="M461" s="595">
        <v>1490323.61</v>
      </c>
      <c r="N461" s="596">
        <v>41361</v>
      </c>
      <c r="O461" s="596">
        <v>41361</v>
      </c>
    </row>
    <row r="462" spans="1:15" ht="12.75">
      <c r="A462" s="590">
        <v>2013</v>
      </c>
      <c r="B462" s="591" t="s">
        <v>481</v>
      </c>
      <c r="C462" s="591" t="s">
        <v>482</v>
      </c>
      <c r="D462" s="592">
        <v>1021011</v>
      </c>
      <c r="E462" s="592">
        <v>1</v>
      </c>
      <c r="F462" s="592"/>
      <c r="G462" s="592">
        <v>740</v>
      </c>
      <c r="H462" s="592" t="s">
        <v>142</v>
      </c>
      <c r="I462" s="592"/>
      <c r="J462" s="592" t="s">
        <v>444</v>
      </c>
      <c r="K462" s="593" t="b">
        <f>FALSE</f>
        <v>0</v>
      </c>
      <c r="L462" s="594">
        <v>2014</v>
      </c>
      <c r="M462" s="595">
        <v>222594.71</v>
      </c>
      <c r="N462" s="596">
        <v>41361</v>
      </c>
      <c r="O462" s="596">
        <v>41361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workbookViewId="0" topLeftCell="A1">
      <selection activeCell="R4" sqref="R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3" max="16" width="16.8984375" style="0" customWidth="1"/>
  </cols>
  <sheetData>
    <row r="1" spans="1:16" ht="12.75">
      <c r="A1" s="275" t="s">
        <v>463</v>
      </c>
      <c r="L1" s="585" t="s">
        <v>464</v>
      </c>
      <c r="M1" s="586">
        <f>MIN(L:L)</f>
        <v>2013</v>
      </c>
      <c r="N1" s="586"/>
      <c r="O1" s="586"/>
      <c r="P1" s="586"/>
    </row>
    <row r="3" spans="1:18" ht="12.75">
      <c r="A3" s="588" t="s">
        <v>466</v>
      </c>
      <c r="B3" s="589" t="s">
        <v>467</v>
      </c>
      <c r="C3" s="589" t="s">
        <v>468</v>
      </c>
      <c r="D3" s="589" t="s">
        <v>469</v>
      </c>
      <c r="E3" s="589" t="s">
        <v>470</v>
      </c>
      <c r="F3" s="589" t="s">
        <v>471</v>
      </c>
      <c r="G3" s="589" t="s">
        <v>472</v>
      </c>
      <c r="H3" s="589" t="s">
        <v>473</v>
      </c>
      <c r="I3" s="589" t="s">
        <v>474</v>
      </c>
      <c r="J3" s="589" t="s">
        <v>475</v>
      </c>
      <c r="K3" s="589" t="s">
        <v>476</v>
      </c>
      <c r="L3" s="589" t="s">
        <v>477</v>
      </c>
      <c r="M3" s="589" t="s">
        <v>500</v>
      </c>
      <c r="N3" s="589" t="s">
        <v>501</v>
      </c>
      <c r="O3" s="589" t="s">
        <v>502</v>
      </c>
      <c r="P3" s="589" t="s">
        <v>503</v>
      </c>
      <c r="Q3" s="589" t="s">
        <v>479</v>
      </c>
      <c r="R3" s="589" t="s">
        <v>480</v>
      </c>
    </row>
    <row r="4" spans="1:18" ht="12.75">
      <c r="A4" s="590">
        <v>2013</v>
      </c>
      <c r="B4" s="591" t="s">
        <v>481</v>
      </c>
      <c r="C4" s="591" t="s">
        <v>482</v>
      </c>
      <c r="D4" s="592">
        <v>1021011</v>
      </c>
      <c r="E4" s="592">
        <v>1</v>
      </c>
      <c r="F4" s="592"/>
      <c r="G4" s="592">
        <v>20</v>
      </c>
      <c r="H4" s="592">
        <v>1.1</v>
      </c>
      <c r="I4" s="592"/>
      <c r="J4" s="592" t="s">
        <v>383</v>
      </c>
      <c r="K4" s="593" t="b">
        <f>TRUE</f>
        <v>1</v>
      </c>
      <c r="L4" s="594">
        <v>2013</v>
      </c>
      <c r="M4" s="595">
        <v>25893786.18</v>
      </c>
      <c r="N4" s="595">
        <v>28412491.19</v>
      </c>
      <c r="O4" s="595">
        <v>29915724.45</v>
      </c>
      <c r="P4" s="595">
        <v>29417886.46</v>
      </c>
      <c r="Q4" s="596">
        <v>41361</v>
      </c>
      <c r="R4" s="596">
        <v>41361</v>
      </c>
    </row>
    <row r="5" spans="1:18" ht="12.75">
      <c r="A5" s="590">
        <v>2013</v>
      </c>
      <c r="B5" s="591" t="s">
        <v>481</v>
      </c>
      <c r="C5" s="591" t="s">
        <v>482</v>
      </c>
      <c r="D5" s="592">
        <v>1021011</v>
      </c>
      <c r="E5" s="592">
        <v>1</v>
      </c>
      <c r="F5" s="592"/>
      <c r="G5" s="592">
        <v>60</v>
      </c>
      <c r="H5" s="592" t="s">
        <v>18</v>
      </c>
      <c r="I5" s="592"/>
      <c r="J5" s="592" t="s">
        <v>387</v>
      </c>
      <c r="K5" s="593" t="b">
        <f>TRUE</f>
        <v>1</v>
      </c>
      <c r="L5" s="594">
        <v>2013</v>
      </c>
      <c r="M5" s="595">
        <v>0</v>
      </c>
      <c r="N5" s="595">
        <v>0</v>
      </c>
      <c r="O5" s="595">
        <v>0</v>
      </c>
      <c r="P5" s="595">
        <v>0</v>
      </c>
      <c r="Q5" s="596">
        <v>41361</v>
      </c>
      <c r="R5" s="596">
        <v>41361</v>
      </c>
    </row>
    <row r="6" spans="1:18" ht="12.75">
      <c r="A6" s="590">
        <v>2013</v>
      </c>
      <c r="B6" s="591" t="s">
        <v>481</v>
      </c>
      <c r="C6" s="591" t="s">
        <v>482</v>
      </c>
      <c r="D6" s="592">
        <v>1021011</v>
      </c>
      <c r="E6" s="592">
        <v>1</v>
      </c>
      <c r="F6" s="592"/>
      <c r="G6" s="592">
        <v>10</v>
      </c>
      <c r="H6" s="592">
        <v>1</v>
      </c>
      <c r="I6" s="592" t="s">
        <v>483</v>
      </c>
      <c r="J6" s="592" t="s">
        <v>9</v>
      </c>
      <c r="K6" s="593" t="b">
        <f>TRUE</f>
        <v>1</v>
      </c>
      <c r="L6" s="594">
        <v>2013</v>
      </c>
      <c r="M6" s="595">
        <v>31484876.01</v>
      </c>
      <c r="N6" s="595">
        <v>31063442.33</v>
      </c>
      <c r="O6" s="595">
        <v>35624119.93</v>
      </c>
      <c r="P6" s="595">
        <v>34438420.27</v>
      </c>
      <c r="Q6" s="596">
        <v>41361</v>
      </c>
      <c r="R6" s="596">
        <v>41361</v>
      </c>
    </row>
    <row r="7" spans="1:18" ht="12.75">
      <c r="A7" s="590">
        <v>2013</v>
      </c>
      <c r="B7" s="591" t="s">
        <v>481</v>
      </c>
      <c r="C7" s="591" t="s">
        <v>482</v>
      </c>
      <c r="D7" s="592">
        <v>1021011</v>
      </c>
      <c r="E7" s="592">
        <v>1</v>
      </c>
      <c r="F7" s="592"/>
      <c r="G7" s="592">
        <v>70</v>
      </c>
      <c r="H7" s="592" t="s">
        <v>20</v>
      </c>
      <c r="I7" s="592"/>
      <c r="J7" s="592" t="s">
        <v>388</v>
      </c>
      <c r="K7" s="593" t="b">
        <f>TRUE</f>
        <v>1</v>
      </c>
      <c r="L7" s="594">
        <v>2013</v>
      </c>
      <c r="M7" s="595">
        <v>0</v>
      </c>
      <c r="N7" s="595">
        <v>0</v>
      </c>
      <c r="O7" s="595">
        <v>0</v>
      </c>
      <c r="P7" s="595">
        <v>0</v>
      </c>
      <c r="Q7" s="596">
        <v>41361</v>
      </c>
      <c r="R7" s="596">
        <v>41361</v>
      </c>
    </row>
    <row r="8" spans="1:18" ht="12.75">
      <c r="A8" s="590">
        <v>2013</v>
      </c>
      <c r="B8" s="591" t="s">
        <v>481</v>
      </c>
      <c r="C8" s="591" t="s">
        <v>482</v>
      </c>
      <c r="D8" s="592">
        <v>1021011</v>
      </c>
      <c r="E8" s="592">
        <v>1</v>
      </c>
      <c r="F8" s="592"/>
      <c r="G8" s="592">
        <v>520</v>
      </c>
      <c r="H8" s="592" t="s">
        <v>102</v>
      </c>
      <c r="I8" s="592"/>
      <c r="J8" s="592" t="s">
        <v>424</v>
      </c>
      <c r="K8" s="593" t="b">
        <f>TRUE</f>
        <v>1</v>
      </c>
      <c r="L8" s="594">
        <v>2013</v>
      </c>
      <c r="M8" s="595">
        <v>0</v>
      </c>
      <c r="N8" s="595">
        <v>0</v>
      </c>
      <c r="O8" s="595">
        <v>0</v>
      </c>
      <c r="P8" s="595">
        <v>0</v>
      </c>
      <c r="Q8" s="596">
        <v>41361</v>
      </c>
      <c r="R8" s="596">
        <v>41361</v>
      </c>
    </row>
    <row r="9" spans="1:18" ht="12.75">
      <c r="A9" s="590">
        <v>2013</v>
      </c>
      <c r="B9" s="591" t="s">
        <v>481</v>
      </c>
      <c r="C9" s="591" t="s">
        <v>482</v>
      </c>
      <c r="D9" s="592">
        <v>1021011</v>
      </c>
      <c r="E9" s="592">
        <v>1</v>
      </c>
      <c r="F9" s="592"/>
      <c r="G9" s="592">
        <v>350</v>
      </c>
      <c r="H9" s="592">
        <v>6</v>
      </c>
      <c r="I9" s="592"/>
      <c r="J9" s="592" t="s">
        <v>70</v>
      </c>
      <c r="K9" s="593" t="b">
        <f>TRUE</f>
        <v>1</v>
      </c>
      <c r="L9" s="594">
        <v>2013</v>
      </c>
      <c r="M9" s="595">
        <v>12848122.14</v>
      </c>
      <c r="N9" s="595">
        <v>13906544.86</v>
      </c>
      <c r="O9" s="595">
        <v>15821291.95</v>
      </c>
      <c r="P9" s="595">
        <v>15503368.16</v>
      </c>
      <c r="Q9" s="596">
        <v>41361</v>
      </c>
      <c r="R9" s="596">
        <v>41361</v>
      </c>
    </row>
    <row r="10" spans="1:18" ht="12.75">
      <c r="A10" s="590">
        <v>2013</v>
      </c>
      <c r="B10" s="591" t="s">
        <v>481</v>
      </c>
      <c r="C10" s="591" t="s">
        <v>482</v>
      </c>
      <c r="D10" s="592">
        <v>1021011</v>
      </c>
      <c r="E10" s="592">
        <v>1</v>
      </c>
      <c r="F10" s="592"/>
      <c r="G10" s="592">
        <v>620</v>
      </c>
      <c r="H10" s="592" t="s">
        <v>120</v>
      </c>
      <c r="I10" s="592"/>
      <c r="J10" s="592" t="s">
        <v>433</v>
      </c>
      <c r="K10" s="593" t="b">
        <f>TRUE</f>
        <v>1</v>
      </c>
      <c r="L10" s="594">
        <v>2013</v>
      </c>
      <c r="M10" s="595">
        <v>0</v>
      </c>
      <c r="N10" s="595">
        <v>0</v>
      </c>
      <c r="O10" s="595">
        <v>846800</v>
      </c>
      <c r="P10" s="595">
        <v>0</v>
      </c>
      <c r="Q10" s="596">
        <v>41361</v>
      </c>
      <c r="R10" s="596">
        <v>41361</v>
      </c>
    </row>
    <row r="11" spans="1:18" ht="12.75">
      <c r="A11" s="590">
        <v>2013</v>
      </c>
      <c r="B11" s="591" t="s">
        <v>481</v>
      </c>
      <c r="C11" s="591" t="s">
        <v>482</v>
      </c>
      <c r="D11" s="592">
        <v>1021011</v>
      </c>
      <c r="E11" s="592">
        <v>1</v>
      </c>
      <c r="F11" s="592"/>
      <c r="G11" s="592">
        <v>860</v>
      </c>
      <c r="H11" s="592">
        <v>13.7</v>
      </c>
      <c r="I11" s="592"/>
      <c r="J11" s="592" t="s">
        <v>455</v>
      </c>
      <c r="K11" s="593" t="b">
        <f>TRUE</f>
        <v>1</v>
      </c>
      <c r="L11" s="594">
        <v>2013</v>
      </c>
      <c r="M11" s="595">
        <v>0</v>
      </c>
      <c r="N11" s="595">
        <v>0</v>
      </c>
      <c r="O11" s="595">
        <v>0</v>
      </c>
      <c r="P11" s="595">
        <v>0</v>
      </c>
      <c r="Q11" s="596">
        <v>41361</v>
      </c>
      <c r="R11" s="596">
        <v>41361</v>
      </c>
    </row>
    <row r="12" spans="1:18" ht="12.75">
      <c r="A12" s="590">
        <v>2013</v>
      </c>
      <c r="B12" s="591" t="s">
        <v>481</v>
      </c>
      <c r="C12" s="591" t="s">
        <v>482</v>
      </c>
      <c r="D12" s="592">
        <v>1021011</v>
      </c>
      <c r="E12" s="592">
        <v>1</v>
      </c>
      <c r="F12" s="592"/>
      <c r="G12" s="592">
        <v>770</v>
      </c>
      <c r="H12" s="592" t="s">
        <v>148</v>
      </c>
      <c r="I12" s="592"/>
      <c r="J12" s="592" t="s">
        <v>447</v>
      </c>
      <c r="K12" s="593" t="b">
        <f>TRUE</f>
        <v>1</v>
      </c>
      <c r="L12" s="594">
        <v>2013</v>
      </c>
      <c r="M12" s="595">
        <v>0</v>
      </c>
      <c r="N12" s="595">
        <v>0</v>
      </c>
      <c r="O12" s="595">
        <v>3830155.48</v>
      </c>
      <c r="P12" s="595">
        <v>3360023.79</v>
      </c>
      <c r="Q12" s="596">
        <v>41361</v>
      </c>
      <c r="R12" s="596">
        <v>41361</v>
      </c>
    </row>
    <row r="13" spans="1:18" ht="12.75">
      <c r="A13" s="590">
        <v>2013</v>
      </c>
      <c r="B13" s="591" t="s">
        <v>481</v>
      </c>
      <c r="C13" s="591" t="s">
        <v>482</v>
      </c>
      <c r="D13" s="592">
        <v>1021011</v>
      </c>
      <c r="E13" s="592">
        <v>1</v>
      </c>
      <c r="F13" s="592"/>
      <c r="G13" s="592">
        <v>550</v>
      </c>
      <c r="H13" s="592">
        <v>10</v>
      </c>
      <c r="I13" s="592"/>
      <c r="J13" s="592" t="s">
        <v>427</v>
      </c>
      <c r="K13" s="593" t="b">
        <f>FALSE</f>
        <v>0</v>
      </c>
      <c r="L13" s="594">
        <v>2013</v>
      </c>
      <c r="M13" s="595">
        <v>0</v>
      </c>
      <c r="N13" s="595">
        <v>0</v>
      </c>
      <c r="O13" s="595">
        <v>0</v>
      </c>
      <c r="P13" s="595">
        <v>0</v>
      </c>
      <c r="Q13" s="596">
        <v>41361</v>
      </c>
      <c r="R13" s="596">
        <v>41361</v>
      </c>
    </row>
    <row r="14" spans="1:18" ht="12.75">
      <c r="A14" s="590">
        <v>2013</v>
      </c>
      <c r="B14" s="591" t="s">
        <v>481</v>
      </c>
      <c r="C14" s="591" t="s">
        <v>482</v>
      </c>
      <c r="D14" s="592">
        <v>1021011</v>
      </c>
      <c r="E14" s="592">
        <v>1</v>
      </c>
      <c r="F14" s="592"/>
      <c r="G14" s="592">
        <v>180</v>
      </c>
      <c r="H14" s="592" t="s">
        <v>42</v>
      </c>
      <c r="I14" s="592"/>
      <c r="J14" s="592" t="s">
        <v>398</v>
      </c>
      <c r="K14" s="593" t="b">
        <f>FALSE</f>
        <v>0</v>
      </c>
      <c r="L14" s="594">
        <v>2013</v>
      </c>
      <c r="M14" s="595">
        <v>464051.55</v>
      </c>
      <c r="N14" s="595">
        <v>755389.64</v>
      </c>
      <c r="O14" s="595">
        <v>884400</v>
      </c>
      <c r="P14" s="595">
        <v>791159.57</v>
      </c>
      <c r="Q14" s="596">
        <v>41361</v>
      </c>
      <c r="R14" s="596">
        <v>41361</v>
      </c>
    </row>
    <row r="15" spans="1:18" ht="12.75">
      <c r="A15" s="590">
        <v>2013</v>
      </c>
      <c r="B15" s="591" t="s">
        <v>481</v>
      </c>
      <c r="C15" s="591" t="s">
        <v>482</v>
      </c>
      <c r="D15" s="592">
        <v>1021011</v>
      </c>
      <c r="E15" s="592">
        <v>1</v>
      </c>
      <c r="F15" s="592"/>
      <c r="G15" s="592">
        <v>730</v>
      </c>
      <c r="H15" s="592">
        <v>12.3</v>
      </c>
      <c r="I15" s="592"/>
      <c r="J15" s="592" t="s">
        <v>443</v>
      </c>
      <c r="K15" s="593" t="b">
        <f>FALSE</f>
        <v>0</v>
      </c>
      <c r="L15" s="594">
        <v>2013</v>
      </c>
      <c r="M15" s="595">
        <v>0</v>
      </c>
      <c r="N15" s="595">
        <v>0</v>
      </c>
      <c r="O15" s="595">
        <v>0</v>
      </c>
      <c r="P15" s="595">
        <v>0</v>
      </c>
      <c r="Q15" s="596">
        <v>41361</v>
      </c>
      <c r="R15" s="596">
        <v>41361</v>
      </c>
    </row>
    <row r="16" spans="1:18" ht="12.75">
      <c r="A16" s="590">
        <v>2013</v>
      </c>
      <c r="B16" s="591" t="s">
        <v>481</v>
      </c>
      <c r="C16" s="591" t="s">
        <v>482</v>
      </c>
      <c r="D16" s="592">
        <v>1021011</v>
      </c>
      <c r="E16" s="592">
        <v>1</v>
      </c>
      <c r="F16" s="592"/>
      <c r="G16" s="592">
        <v>260</v>
      </c>
      <c r="H16" s="592">
        <v>4.3</v>
      </c>
      <c r="I16" s="592"/>
      <c r="J16" s="592" t="s">
        <v>404</v>
      </c>
      <c r="K16" s="593" t="b">
        <f>TRUE</f>
        <v>1</v>
      </c>
      <c r="L16" s="594">
        <v>2013</v>
      </c>
      <c r="M16" s="595">
        <v>6000000</v>
      </c>
      <c r="N16" s="595">
        <v>3600000</v>
      </c>
      <c r="O16" s="595">
        <v>3818747.09</v>
      </c>
      <c r="P16" s="595">
        <v>3500000</v>
      </c>
      <c r="Q16" s="596">
        <v>41361</v>
      </c>
      <c r="R16" s="596">
        <v>41361</v>
      </c>
    </row>
    <row r="17" spans="1:18" ht="12.75">
      <c r="A17" s="590">
        <v>2013</v>
      </c>
      <c r="B17" s="591" t="s">
        <v>481</v>
      </c>
      <c r="C17" s="591" t="s">
        <v>482</v>
      </c>
      <c r="D17" s="592">
        <v>1021011</v>
      </c>
      <c r="E17" s="592">
        <v>1</v>
      </c>
      <c r="F17" s="592"/>
      <c r="G17" s="592">
        <v>490</v>
      </c>
      <c r="H17" s="592">
        <v>9.5</v>
      </c>
      <c r="I17" s="592"/>
      <c r="J17" s="592" t="s">
        <v>420</v>
      </c>
      <c r="K17" s="593" t="b">
        <f>TRUE</f>
        <v>1</v>
      </c>
      <c r="L17" s="594">
        <v>2013</v>
      </c>
      <c r="M17" s="595">
        <v>0</v>
      </c>
      <c r="N17" s="595">
        <v>0</v>
      </c>
      <c r="O17" s="595">
        <v>0</v>
      </c>
      <c r="P17" s="595">
        <v>0</v>
      </c>
      <c r="Q17" s="596">
        <v>41361</v>
      </c>
      <c r="R17" s="596">
        <v>41361</v>
      </c>
    </row>
    <row r="18" spans="1:18" ht="12.75">
      <c r="A18" s="590">
        <v>2013</v>
      </c>
      <c r="B18" s="591" t="s">
        <v>481</v>
      </c>
      <c r="C18" s="591" t="s">
        <v>482</v>
      </c>
      <c r="D18" s="592">
        <v>1021011</v>
      </c>
      <c r="E18" s="592">
        <v>1</v>
      </c>
      <c r="F18" s="592"/>
      <c r="G18" s="592">
        <v>390</v>
      </c>
      <c r="H18" s="592">
        <v>6.3</v>
      </c>
      <c r="I18" s="592" t="s">
        <v>484</v>
      </c>
      <c r="J18" s="592" t="s">
        <v>413</v>
      </c>
      <c r="K18" s="593" t="b">
        <f>FALSE</f>
        <v>0</v>
      </c>
      <c r="L18" s="594">
        <v>2013</v>
      </c>
      <c r="M18" s="595">
        <v>0.4081</v>
      </c>
      <c r="N18" s="595">
        <v>0.4477</v>
      </c>
      <c r="O18" s="595">
        <v>0.4441</v>
      </c>
      <c r="P18" s="595">
        <v>0.4502</v>
      </c>
      <c r="Q18" s="596">
        <v>41361</v>
      </c>
      <c r="R18" s="596">
        <v>41361</v>
      </c>
    </row>
    <row r="19" spans="1:18" ht="12.75">
      <c r="A19" s="590">
        <v>2013</v>
      </c>
      <c r="B19" s="591" t="s">
        <v>481</v>
      </c>
      <c r="C19" s="591" t="s">
        <v>482</v>
      </c>
      <c r="D19" s="592">
        <v>1021011</v>
      </c>
      <c r="E19" s="592">
        <v>1</v>
      </c>
      <c r="F19" s="592"/>
      <c r="G19" s="592">
        <v>460</v>
      </c>
      <c r="H19" s="592">
        <v>9.2</v>
      </c>
      <c r="I19" s="592" t="s">
        <v>485</v>
      </c>
      <c r="J19" s="592" t="s">
        <v>418</v>
      </c>
      <c r="K19" s="593" t="b">
        <f>FALSE</f>
        <v>0</v>
      </c>
      <c r="L19" s="594">
        <v>2013</v>
      </c>
      <c r="M19" s="595">
        <v>0.0756</v>
      </c>
      <c r="N19" s="595">
        <v>0.1061</v>
      </c>
      <c r="O19" s="595">
        <v>0.0797</v>
      </c>
      <c r="P19" s="595">
        <v>0.0782</v>
      </c>
      <c r="Q19" s="596">
        <v>41361</v>
      </c>
      <c r="R19" s="596">
        <v>41361</v>
      </c>
    </row>
    <row r="20" spans="1:18" ht="12.75">
      <c r="A20" s="590">
        <v>2013</v>
      </c>
      <c r="B20" s="591" t="s">
        <v>481</v>
      </c>
      <c r="C20" s="591" t="s">
        <v>482</v>
      </c>
      <c r="D20" s="592">
        <v>1021011</v>
      </c>
      <c r="E20" s="592">
        <v>1</v>
      </c>
      <c r="F20" s="592"/>
      <c r="G20" s="592">
        <v>630</v>
      </c>
      <c r="H20" s="592">
        <v>11.4</v>
      </c>
      <c r="I20" s="592"/>
      <c r="J20" s="592" t="s">
        <v>434</v>
      </c>
      <c r="K20" s="593" t="b">
        <f>TRUE</f>
        <v>1</v>
      </c>
      <c r="L20" s="594">
        <v>2013</v>
      </c>
      <c r="M20" s="595">
        <v>0</v>
      </c>
      <c r="N20" s="595">
        <v>0</v>
      </c>
      <c r="O20" s="595">
        <v>0</v>
      </c>
      <c r="P20" s="595">
        <v>0</v>
      </c>
      <c r="Q20" s="596">
        <v>41361</v>
      </c>
      <c r="R20" s="596">
        <v>41361</v>
      </c>
    </row>
    <row r="21" spans="1:18" ht="12.75">
      <c r="A21" s="590">
        <v>2013</v>
      </c>
      <c r="B21" s="591" t="s">
        <v>481</v>
      </c>
      <c r="C21" s="591" t="s">
        <v>482</v>
      </c>
      <c r="D21" s="592">
        <v>1021011</v>
      </c>
      <c r="E21" s="592">
        <v>1</v>
      </c>
      <c r="F21" s="592"/>
      <c r="G21" s="592">
        <v>890</v>
      </c>
      <c r="H21" s="592">
        <v>14.2</v>
      </c>
      <c r="I21" s="592"/>
      <c r="J21" s="592" t="s">
        <v>457</v>
      </c>
      <c r="K21" s="593" t="b">
        <f>TRUE</f>
        <v>1</v>
      </c>
      <c r="L21" s="594">
        <v>2013</v>
      </c>
      <c r="M21" s="595">
        <v>0</v>
      </c>
      <c r="N21" s="595">
        <v>0</v>
      </c>
      <c r="O21" s="595">
        <v>0</v>
      </c>
      <c r="P21" s="595">
        <v>0</v>
      </c>
      <c r="Q21" s="596">
        <v>41361</v>
      </c>
      <c r="R21" s="596">
        <v>41361</v>
      </c>
    </row>
    <row r="22" spans="1:18" ht="12.75">
      <c r="A22" s="590">
        <v>2013</v>
      </c>
      <c r="B22" s="591" t="s">
        <v>481</v>
      </c>
      <c r="C22" s="591" t="s">
        <v>482</v>
      </c>
      <c r="D22" s="592">
        <v>1021011</v>
      </c>
      <c r="E22" s="592">
        <v>1</v>
      </c>
      <c r="F22" s="592"/>
      <c r="G22" s="592">
        <v>230</v>
      </c>
      <c r="H22" s="592" t="s">
        <v>50</v>
      </c>
      <c r="I22" s="592"/>
      <c r="J22" s="592" t="s">
        <v>401</v>
      </c>
      <c r="K22" s="593" t="b">
        <f>FALSE</f>
        <v>0</v>
      </c>
      <c r="L22" s="594">
        <v>2013</v>
      </c>
      <c r="M22" s="595">
        <v>0</v>
      </c>
      <c r="N22" s="595">
        <v>0</v>
      </c>
      <c r="O22" s="595">
        <v>0</v>
      </c>
      <c r="P22" s="595">
        <v>0</v>
      </c>
      <c r="Q22" s="596">
        <v>41361</v>
      </c>
      <c r="R22" s="596">
        <v>41361</v>
      </c>
    </row>
    <row r="23" spans="1:18" ht="12.75">
      <c r="A23" s="590">
        <v>2013</v>
      </c>
      <c r="B23" s="591" t="s">
        <v>481</v>
      </c>
      <c r="C23" s="591" t="s">
        <v>482</v>
      </c>
      <c r="D23" s="592">
        <v>1021011</v>
      </c>
      <c r="E23" s="592">
        <v>1</v>
      </c>
      <c r="F23" s="592"/>
      <c r="G23" s="592">
        <v>690</v>
      </c>
      <c r="H23" s="592" t="s">
        <v>133</v>
      </c>
      <c r="I23" s="592"/>
      <c r="J23" s="592" t="s">
        <v>439</v>
      </c>
      <c r="K23" s="593" t="b">
        <f>TRUE</f>
        <v>1</v>
      </c>
      <c r="L23" s="594">
        <v>2013</v>
      </c>
      <c r="M23" s="595">
        <v>0</v>
      </c>
      <c r="N23" s="595">
        <v>0</v>
      </c>
      <c r="O23" s="595">
        <v>0</v>
      </c>
      <c r="P23" s="595">
        <v>0</v>
      </c>
      <c r="Q23" s="596">
        <v>41361</v>
      </c>
      <c r="R23" s="596">
        <v>41361</v>
      </c>
    </row>
    <row r="24" spans="1:18" ht="12.75">
      <c r="A24" s="590">
        <v>2013</v>
      </c>
      <c r="B24" s="591" t="s">
        <v>481</v>
      </c>
      <c r="C24" s="591" t="s">
        <v>482</v>
      </c>
      <c r="D24" s="592">
        <v>1021011</v>
      </c>
      <c r="E24" s="592">
        <v>1</v>
      </c>
      <c r="F24" s="592"/>
      <c r="G24" s="592">
        <v>830</v>
      </c>
      <c r="H24" s="592">
        <v>13.4</v>
      </c>
      <c r="I24" s="592"/>
      <c r="J24" s="592" t="s">
        <v>452</v>
      </c>
      <c r="K24" s="593" t="b">
        <f>TRUE</f>
        <v>1</v>
      </c>
      <c r="L24" s="594">
        <v>2013</v>
      </c>
      <c r="M24" s="595">
        <v>0</v>
      </c>
      <c r="N24" s="595">
        <v>0</v>
      </c>
      <c r="O24" s="595">
        <v>0</v>
      </c>
      <c r="P24" s="595">
        <v>0</v>
      </c>
      <c r="Q24" s="596">
        <v>41361</v>
      </c>
      <c r="R24" s="596">
        <v>41361</v>
      </c>
    </row>
    <row r="25" spans="1:18" ht="12.75">
      <c r="A25" s="590">
        <v>2013</v>
      </c>
      <c r="B25" s="591" t="s">
        <v>481</v>
      </c>
      <c r="C25" s="591" t="s">
        <v>482</v>
      </c>
      <c r="D25" s="592">
        <v>1021011</v>
      </c>
      <c r="E25" s="592">
        <v>1</v>
      </c>
      <c r="F25" s="592"/>
      <c r="G25" s="592">
        <v>30</v>
      </c>
      <c r="H25" s="592" t="s">
        <v>12</v>
      </c>
      <c r="I25" s="592"/>
      <c r="J25" s="592" t="s">
        <v>384</v>
      </c>
      <c r="K25" s="593" t="b">
        <f>TRUE</f>
        <v>1</v>
      </c>
      <c r="L25" s="594">
        <v>2013</v>
      </c>
      <c r="M25" s="595">
        <v>0</v>
      </c>
      <c r="N25" s="595">
        <v>0</v>
      </c>
      <c r="O25" s="595">
        <v>0</v>
      </c>
      <c r="P25" s="595">
        <v>0</v>
      </c>
      <c r="Q25" s="596">
        <v>41361</v>
      </c>
      <c r="R25" s="596">
        <v>41361</v>
      </c>
    </row>
    <row r="26" spans="1:18" ht="12.75">
      <c r="A26" s="590">
        <v>2013</v>
      </c>
      <c r="B26" s="591" t="s">
        <v>481</v>
      </c>
      <c r="C26" s="591" t="s">
        <v>482</v>
      </c>
      <c r="D26" s="592">
        <v>1021011</v>
      </c>
      <c r="E26" s="592">
        <v>1</v>
      </c>
      <c r="F26" s="592"/>
      <c r="G26" s="592">
        <v>310</v>
      </c>
      <c r="H26" s="592">
        <v>5.1</v>
      </c>
      <c r="I26" s="592"/>
      <c r="J26" s="592" t="s">
        <v>406</v>
      </c>
      <c r="K26" s="593" t="b">
        <f>TRUE</f>
        <v>1</v>
      </c>
      <c r="L26" s="594">
        <v>2013</v>
      </c>
      <c r="M26" s="595">
        <v>1916539.28</v>
      </c>
      <c r="N26" s="595">
        <v>2541577.28</v>
      </c>
      <c r="O26" s="595">
        <v>1904000</v>
      </c>
      <c r="P26" s="595">
        <v>1903176.7</v>
      </c>
      <c r="Q26" s="596">
        <v>41361</v>
      </c>
      <c r="R26" s="596">
        <v>41361</v>
      </c>
    </row>
    <row r="27" spans="1:18" ht="12.75">
      <c r="A27" s="590">
        <v>2013</v>
      </c>
      <c r="B27" s="591" t="s">
        <v>481</v>
      </c>
      <c r="C27" s="591" t="s">
        <v>482</v>
      </c>
      <c r="D27" s="592">
        <v>1021011</v>
      </c>
      <c r="E27" s="592">
        <v>1</v>
      </c>
      <c r="F27" s="592"/>
      <c r="G27" s="592">
        <v>240</v>
      </c>
      <c r="H27" s="592">
        <v>4.2</v>
      </c>
      <c r="I27" s="592"/>
      <c r="J27" s="592" t="s">
        <v>402</v>
      </c>
      <c r="K27" s="593" t="b">
        <f>FALSE</f>
        <v>0</v>
      </c>
      <c r="L27" s="594">
        <v>2013</v>
      </c>
      <c r="M27" s="595">
        <v>0</v>
      </c>
      <c r="N27" s="595">
        <v>0</v>
      </c>
      <c r="O27" s="595">
        <v>2956793.84</v>
      </c>
      <c r="P27" s="595">
        <v>2956793.84</v>
      </c>
      <c r="Q27" s="596">
        <v>41361</v>
      </c>
      <c r="R27" s="596">
        <v>41361</v>
      </c>
    </row>
    <row r="28" spans="1:18" ht="12.75">
      <c r="A28" s="590">
        <v>2013</v>
      </c>
      <c r="B28" s="591" t="s">
        <v>481</v>
      </c>
      <c r="C28" s="591" t="s">
        <v>482</v>
      </c>
      <c r="D28" s="592">
        <v>1021011</v>
      </c>
      <c r="E28" s="592">
        <v>1</v>
      </c>
      <c r="F28" s="592"/>
      <c r="G28" s="592">
        <v>280</v>
      </c>
      <c r="H28" s="592">
        <v>4.4</v>
      </c>
      <c r="I28" s="592"/>
      <c r="J28" s="592" t="s">
        <v>405</v>
      </c>
      <c r="K28" s="593" t="b">
        <f>FALSE</f>
        <v>0</v>
      </c>
      <c r="L28" s="594">
        <v>2013</v>
      </c>
      <c r="M28" s="595">
        <v>0</v>
      </c>
      <c r="N28" s="595">
        <v>0</v>
      </c>
      <c r="O28" s="595">
        <v>0</v>
      </c>
      <c r="P28" s="595">
        <v>0</v>
      </c>
      <c r="Q28" s="596">
        <v>41361</v>
      </c>
      <c r="R28" s="596">
        <v>41361</v>
      </c>
    </row>
    <row r="29" spans="1:18" ht="12.75">
      <c r="A29" s="590">
        <v>2013</v>
      </c>
      <c r="B29" s="591" t="s">
        <v>481</v>
      </c>
      <c r="C29" s="591" t="s">
        <v>482</v>
      </c>
      <c r="D29" s="592">
        <v>1021011</v>
      </c>
      <c r="E29" s="592">
        <v>1</v>
      </c>
      <c r="F29" s="592"/>
      <c r="G29" s="592">
        <v>790</v>
      </c>
      <c r="H29" s="592">
        <v>13</v>
      </c>
      <c r="I29" s="592"/>
      <c r="J29" s="592" t="s">
        <v>152</v>
      </c>
      <c r="K29" s="593" t="b">
        <f>TRUE</f>
        <v>1</v>
      </c>
      <c r="L29" s="594">
        <v>2013</v>
      </c>
      <c r="M29" s="595">
        <v>0</v>
      </c>
      <c r="N29" s="595">
        <v>0</v>
      </c>
      <c r="O29" s="595">
        <v>0</v>
      </c>
      <c r="P29" s="595">
        <v>0</v>
      </c>
      <c r="Q29" s="596">
        <v>41361</v>
      </c>
      <c r="R29" s="596">
        <v>41361</v>
      </c>
    </row>
    <row r="30" spans="1:18" ht="12.75">
      <c r="A30" s="590">
        <v>2013</v>
      </c>
      <c r="B30" s="591" t="s">
        <v>481</v>
      </c>
      <c r="C30" s="591" t="s">
        <v>482</v>
      </c>
      <c r="D30" s="592">
        <v>1021011</v>
      </c>
      <c r="E30" s="592">
        <v>1</v>
      </c>
      <c r="F30" s="592"/>
      <c r="G30" s="592">
        <v>700</v>
      </c>
      <c r="H30" s="592">
        <v>12.2</v>
      </c>
      <c r="I30" s="592"/>
      <c r="J30" s="592" t="s">
        <v>440</v>
      </c>
      <c r="K30" s="593" t="b">
        <f>FALSE</f>
        <v>0</v>
      </c>
      <c r="L30" s="594">
        <v>2013</v>
      </c>
      <c r="M30" s="595">
        <v>0</v>
      </c>
      <c r="N30" s="595">
        <v>0</v>
      </c>
      <c r="O30" s="595">
        <v>0</v>
      </c>
      <c r="P30" s="595">
        <v>0</v>
      </c>
      <c r="Q30" s="596">
        <v>41361</v>
      </c>
      <c r="R30" s="596">
        <v>41361</v>
      </c>
    </row>
    <row r="31" spans="1:18" ht="12.75">
      <c r="A31" s="590">
        <v>2013</v>
      </c>
      <c r="B31" s="591" t="s">
        <v>481</v>
      </c>
      <c r="C31" s="591" t="s">
        <v>482</v>
      </c>
      <c r="D31" s="592">
        <v>1021011</v>
      </c>
      <c r="E31" s="592">
        <v>1</v>
      </c>
      <c r="F31" s="592"/>
      <c r="G31" s="592">
        <v>270</v>
      </c>
      <c r="H31" s="592" t="s">
        <v>57</v>
      </c>
      <c r="I31" s="592"/>
      <c r="J31" s="592" t="s">
        <v>403</v>
      </c>
      <c r="K31" s="593" t="b">
        <f>TRUE</f>
        <v>1</v>
      </c>
      <c r="L31" s="594">
        <v>2013</v>
      </c>
      <c r="M31" s="595">
        <v>0</v>
      </c>
      <c r="N31" s="595">
        <v>0</v>
      </c>
      <c r="O31" s="595">
        <v>3818747.09</v>
      </c>
      <c r="P31" s="595">
        <v>3500000</v>
      </c>
      <c r="Q31" s="596">
        <v>41361</v>
      </c>
      <c r="R31" s="596">
        <v>41361</v>
      </c>
    </row>
    <row r="32" spans="1:18" ht="12.75">
      <c r="A32" s="590">
        <v>2013</v>
      </c>
      <c r="B32" s="591" t="s">
        <v>481</v>
      </c>
      <c r="C32" s="591" t="s">
        <v>482</v>
      </c>
      <c r="D32" s="592">
        <v>1021011</v>
      </c>
      <c r="E32" s="592">
        <v>1</v>
      </c>
      <c r="F32" s="592"/>
      <c r="G32" s="592">
        <v>810</v>
      </c>
      <c r="H32" s="592">
        <v>13.2</v>
      </c>
      <c r="I32" s="592"/>
      <c r="J32" s="592" t="s">
        <v>450</v>
      </c>
      <c r="K32" s="593" t="b">
        <f>TRUE</f>
        <v>1</v>
      </c>
      <c r="L32" s="594">
        <v>2013</v>
      </c>
      <c r="M32" s="595">
        <v>0</v>
      </c>
      <c r="N32" s="595">
        <v>0</v>
      </c>
      <c r="O32" s="595">
        <v>0</v>
      </c>
      <c r="P32" s="595">
        <v>0</v>
      </c>
      <c r="Q32" s="596">
        <v>41361</v>
      </c>
      <c r="R32" s="596">
        <v>41361</v>
      </c>
    </row>
    <row r="33" spans="1:18" ht="12.75">
      <c r="A33" s="590">
        <v>2013</v>
      </c>
      <c r="B33" s="591" t="s">
        <v>481</v>
      </c>
      <c r="C33" s="591" t="s">
        <v>482</v>
      </c>
      <c r="D33" s="592">
        <v>1021011</v>
      </c>
      <c r="E33" s="592">
        <v>1</v>
      </c>
      <c r="F33" s="592"/>
      <c r="G33" s="592">
        <v>330</v>
      </c>
      <c r="H33" s="592" t="s">
        <v>66</v>
      </c>
      <c r="I33" s="592"/>
      <c r="J33" s="592" t="s">
        <v>408</v>
      </c>
      <c r="K33" s="593" t="b">
        <f>TRUE</f>
        <v>1</v>
      </c>
      <c r="L33" s="594">
        <v>2013</v>
      </c>
      <c r="M33" s="595">
        <v>0</v>
      </c>
      <c r="N33" s="595">
        <v>0</v>
      </c>
      <c r="O33" s="595">
        <v>0</v>
      </c>
      <c r="P33" s="595">
        <v>0</v>
      </c>
      <c r="Q33" s="596">
        <v>41361</v>
      </c>
      <c r="R33" s="596">
        <v>41361</v>
      </c>
    </row>
    <row r="34" spans="1:18" ht="12.75">
      <c r="A34" s="590">
        <v>2013</v>
      </c>
      <c r="B34" s="591" t="s">
        <v>481</v>
      </c>
      <c r="C34" s="591" t="s">
        <v>482</v>
      </c>
      <c r="D34" s="592">
        <v>1021011</v>
      </c>
      <c r="E34" s="592">
        <v>1</v>
      </c>
      <c r="F34" s="592"/>
      <c r="G34" s="592">
        <v>640</v>
      </c>
      <c r="H34" s="592">
        <v>11.5</v>
      </c>
      <c r="I34" s="592"/>
      <c r="J34" s="592" t="s">
        <v>435</v>
      </c>
      <c r="K34" s="593" t="b">
        <f>TRUE</f>
        <v>1</v>
      </c>
      <c r="L34" s="594">
        <v>2013</v>
      </c>
      <c r="M34" s="595">
        <v>0</v>
      </c>
      <c r="N34" s="595">
        <v>0</v>
      </c>
      <c r="O34" s="595">
        <v>0</v>
      </c>
      <c r="P34" s="595">
        <v>0</v>
      </c>
      <c r="Q34" s="596">
        <v>41361</v>
      </c>
      <c r="R34" s="596">
        <v>41361</v>
      </c>
    </row>
    <row r="35" spans="1:18" ht="12.75">
      <c r="A35" s="590">
        <v>2013</v>
      </c>
      <c r="B35" s="591" t="s">
        <v>481</v>
      </c>
      <c r="C35" s="591" t="s">
        <v>482</v>
      </c>
      <c r="D35" s="592">
        <v>1021011</v>
      </c>
      <c r="E35" s="592">
        <v>1</v>
      </c>
      <c r="F35" s="592"/>
      <c r="G35" s="592">
        <v>210</v>
      </c>
      <c r="H35" s="592">
        <v>4</v>
      </c>
      <c r="I35" s="592" t="s">
        <v>486</v>
      </c>
      <c r="J35" s="592" t="s">
        <v>47</v>
      </c>
      <c r="K35" s="593" t="b">
        <f>FALSE</f>
        <v>0</v>
      </c>
      <c r="L35" s="594">
        <v>2013</v>
      </c>
      <c r="M35" s="595">
        <v>6000000</v>
      </c>
      <c r="N35" s="595">
        <v>3600000</v>
      </c>
      <c r="O35" s="595">
        <v>6775540.93</v>
      </c>
      <c r="P35" s="595">
        <v>6456793.84</v>
      </c>
      <c r="Q35" s="596">
        <v>41361</v>
      </c>
      <c r="R35" s="596">
        <v>41361</v>
      </c>
    </row>
    <row r="36" spans="1:18" ht="12.75">
      <c r="A36" s="590">
        <v>2013</v>
      </c>
      <c r="B36" s="591" t="s">
        <v>481</v>
      </c>
      <c r="C36" s="591" t="s">
        <v>482</v>
      </c>
      <c r="D36" s="592">
        <v>1021011</v>
      </c>
      <c r="E36" s="592">
        <v>1</v>
      </c>
      <c r="F36" s="592"/>
      <c r="G36" s="592">
        <v>200</v>
      </c>
      <c r="H36" s="592">
        <v>3</v>
      </c>
      <c r="I36" s="592" t="s">
        <v>487</v>
      </c>
      <c r="J36" s="592" t="s">
        <v>46</v>
      </c>
      <c r="K36" s="593" t="b">
        <f>FALSE</f>
        <v>0</v>
      </c>
      <c r="L36" s="594">
        <v>2013</v>
      </c>
      <c r="M36" s="595">
        <v>-3124459.69</v>
      </c>
      <c r="N36" s="595">
        <v>26238.4</v>
      </c>
      <c r="O36" s="595">
        <v>-4871540.93</v>
      </c>
      <c r="P36" s="595">
        <v>-1946205.92</v>
      </c>
      <c r="Q36" s="596">
        <v>41361</v>
      </c>
      <c r="R36" s="596">
        <v>41361</v>
      </c>
    </row>
    <row r="37" spans="1:18" ht="12.75">
      <c r="A37" s="590">
        <v>2013</v>
      </c>
      <c r="B37" s="591" t="s">
        <v>481</v>
      </c>
      <c r="C37" s="591" t="s">
        <v>482</v>
      </c>
      <c r="D37" s="592">
        <v>1021011</v>
      </c>
      <c r="E37" s="592">
        <v>1</v>
      </c>
      <c r="F37" s="592"/>
      <c r="G37" s="592">
        <v>500</v>
      </c>
      <c r="H37" s="592">
        <v>9.6</v>
      </c>
      <c r="I37" s="592" t="s">
        <v>488</v>
      </c>
      <c r="J37" s="592" t="s">
        <v>421</v>
      </c>
      <c r="K37" s="593" t="b">
        <f>FALSE</f>
        <v>0</v>
      </c>
      <c r="L37" s="594">
        <v>2013</v>
      </c>
      <c r="M37" s="595">
        <v>0.0756</v>
      </c>
      <c r="N37" s="595">
        <v>0.1061</v>
      </c>
      <c r="O37" s="595">
        <v>0.0797</v>
      </c>
      <c r="P37" s="595">
        <v>0.0782</v>
      </c>
      <c r="Q37" s="596">
        <v>41361</v>
      </c>
      <c r="R37" s="596">
        <v>41361</v>
      </c>
    </row>
    <row r="38" spans="1:18" ht="12.75">
      <c r="A38" s="590">
        <v>2013</v>
      </c>
      <c r="B38" s="591" t="s">
        <v>481</v>
      </c>
      <c r="C38" s="591" t="s">
        <v>482</v>
      </c>
      <c r="D38" s="592">
        <v>1021011</v>
      </c>
      <c r="E38" s="592">
        <v>1</v>
      </c>
      <c r="F38" s="592"/>
      <c r="G38" s="592">
        <v>300</v>
      </c>
      <c r="H38" s="592">
        <v>5</v>
      </c>
      <c r="I38" s="592" t="s">
        <v>489</v>
      </c>
      <c r="J38" s="592" t="s">
        <v>61</v>
      </c>
      <c r="K38" s="593" t="b">
        <f>FALSE</f>
        <v>0</v>
      </c>
      <c r="L38" s="594">
        <v>2013</v>
      </c>
      <c r="M38" s="595">
        <v>1916539.28</v>
      </c>
      <c r="N38" s="595">
        <v>2541577.28</v>
      </c>
      <c r="O38" s="595">
        <v>1904000</v>
      </c>
      <c r="P38" s="595">
        <v>1903176.7</v>
      </c>
      <c r="Q38" s="596">
        <v>41361</v>
      </c>
      <c r="R38" s="596">
        <v>41361</v>
      </c>
    </row>
    <row r="39" spans="1:18" ht="12.75">
      <c r="A39" s="590">
        <v>2013</v>
      </c>
      <c r="B39" s="591" t="s">
        <v>481</v>
      </c>
      <c r="C39" s="591" t="s">
        <v>482</v>
      </c>
      <c r="D39" s="592">
        <v>1021011</v>
      </c>
      <c r="E39" s="592">
        <v>1</v>
      </c>
      <c r="F39" s="592"/>
      <c r="G39" s="592">
        <v>920</v>
      </c>
      <c r="H39" s="592" t="s">
        <v>176</v>
      </c>
      <c r="I39" s="592"/>
      <c r="J39" s="592" t="s">
        <v>460</v>
      </c>
      <c r="K39" s="593" t="b">
        <f>TRUE</f>
        <v>1</v>
      </c>
      <c r="L39" s="594">
        <v>2013</v>
      </c>
      <c r="M39" s="595">
        <v>0</v>
      </c>
      <c r="N39" s="595">
        <v>0</v>
      </c>
      <c r="O39" s="595">
        <v>0</v>
      </c>
      <c r="P39" s="595">
        <v>0</v>
      </c>
      <c r="Q39" s="596">
        <v>41361</v>
      </c>
      <c r="R39" s="596">
        <v>41361</v>
      </c>
    </row>
    <row r="40" spans="1:18" ht="12.75">
      <c r="A40" s="590">
        <v>2013</v>
      </c>
      <c r="B40" s="591" t="s">
        <v>481</v>
      </c>
      <c r="C40" s="591" t="s">
        <v>482</v>
      </c>
      <c r="D40" s="592">
        <v>1021011</v>
      </c>
      <c r="E40" s="592">
        <v>1</v>
      </c>
      <c r="F40" s="592"/>
      <c r="G40" s="592">
        <v>320</v>
      </c>
      <c r="H40" s="592" t="s">
        <v>64</v>
      </c>
      <c r="I40" s="592"/>
      <c r="J40" s="592" t="s">
        <v>407</v>
      </c>
      <c r="K40" s="593" t="b">
        <f>TRUE</f>
        <v>1</v>
      </c>
      <c r="L40" s="594">
        <v>2013</v>
      </c>
      <c r="M40" s="595">
        <v>0</v>
      </c>
      <c r="N40" s="595">
        <v>0</v>
      </c>
      <c r="O40" s="595">
        <v>0</v>
      </c>
      <c r="P40" s="595">
        <v>0</v>
      </c>
      <c r="Q40" s="596">
        <v>41361</v>
      </c>
      <c r="R40" s="596">
        <v>41361</v>
      </c>
    </row>
    <row r="41" spans="1:18" ht="12.75">
      <c r="A41" s="590">
        <v>2013</v>
      </c>
      <c r="B41" s="591" t="s">
        <v>481</v>
      </c>
      <c r="C41" s="591" t="s">
        <v>482</v>
      </c>
      <c r="D41" s="592">
        <v>1021011</v>
      </c>
      <c r="E41" s="592">
        <v>1</v>
      </c>
      <c r="F41" s="592"/>
      <c r="G41" s="592">
        <v>710</v>
      </c>
      <c r="H41" s="592" t="s">
        <v>137</v>
      </c>
      <c r="I41" s="592"/>
      <c r="J41" s="592" t="s">
        <v>441</v>
      </c>
      <c r="K41" s="593" t="b">
        <f>FALSE</f>
        <v>0</v>
      </c>
      <c r="L41" s="594">
        <v>2013</v>
      </c>
      <c r="M41" s="595">
        <v>3773685.71</v>
      </c>
      <c r="N41" s="595">
        <v>0</v>
      </c>
      <c r="O41" s="595">
        <v>3830155.48</v>
      </c>
      <c r="P41" s="595">
        <v>3113726.16</v>
      </c>
      <c r="Q41" s="596">
        <v>41361</v>
      </c>
      <c r="R41" s="596">
        <v>41361</v>
      </c>
    </row>
    <row r="42" spans="1:18" ht="12.75">
      <c r="A42" s="590">
        <v>2013</v>
      </c>
      <c r="B42" s="591" t="s">
        <v>481</v>
      </c>
      <c r="C42" s="591" t="s">
        <v>482</v>
      </c>
      <c r="D42" s="592">
        <v>1021011</v>
      </c>
      <c r="E42" s="592">
        <v>1</v>
      </c>
      <c r="F42" s="592"/>
      <c r="G42" s="592">
        <v>900</v>
      </c>
      <c r="H42" s="592">
        <v>14.3</v>
      </c>
      <c r="I42" s="592"/>
      <c r="J42" s="592" t="s">
        <v>458</v>
      </c>
      <c r="K42" s="593" t="b">
        <f>TRUE</f>
        <v>1</v>
      </c>
      <c r="L42" s="594">
        <v>2013</v>
      </c>
      <c r="M42" s="595">
        <v>0</v>
      </c>
      <c r="N42" s="595">
        <v>0</v>
      </c>
      <c r="O42" s="595">
        <v>0</v>
      </c>
      <c r="P42" s="595">
        <v>0</v>
      </c>
      <c r="Q42" s="596">
        <v>41361</v>
      </c>
      <c r="R42" s="596">
        <v>41361</v>
      </c>
    </row>
    <row r="43" spans="1:18" ht="12.75">
      <c r="A43" s="590">
        <v>2013</v>
      </c>
      <c r="B43" s="591" t="s">
        <v>481</v>
      </c>
      <c r="C43" s="591" t="s">
        <v>482</v>
      </c>
      <c r="D43" s="592">
        <v>1021011</v>
      </c>
      <c r="E43" s="592">
        <v>1</v>
      </c>
      <c r="F43" s="592"/>
      <c r="G43" s="592">
        <v>680</v>
      </c>
      <c r="H43" s="592" t="s">
        <v>131</v>
      </c>
      <c r="I43" s="592"/>
      <c r="J43" s="592" t="s">
        <v>438</v>
      </c>
      <c r="K43" s="593" t="b">
        <f>TRUE</f>
        <v>1</v>
      </c>
      <c r="L43" s="594">
        <v>2013</v>
      </c>
      <c r="M43" s="595">
        <v>965905.76</v>
      </c>
      <c r="N43" s="595">
        <v>0</v>
      </c>
      <c r="O43" s="595">
        <v>0</v>
      </c>
      <c r="P43" s="595">
        <v>931390.39</v>
      </c>
      <c r="Q43" s="596">
        <v>41361</v>
      </c>
      <c r="R43" s="596">
        <v>41361</v>
      </c>
    </row>
    <row r="44" spans="1:18" ht="12.75">
      <c r="A44" s="590">
        <v>2013</v>
      </c>
      <c r="B44" s="591" t="s">
        <v>481</v>
      </c>
      <c r="C44" s="591" t="s">
        <v>482</v>
      </c>
      <c r="D44" s="592">
        <v>1021011</v>
      </c>
      <c r="E44" s="592">
        <v>1</v>
      </c>
      <c r="F44" s="592"/>
      <c r="G44" s="592">
        <v>720</v>
      </c>
      <c r="H44" s="592" t="s">
        <v>138</v>
      </c>
      <c r="I44" s="592"/>
      <c r="J44" s="592" t="s">
        <v>442</v>
      </c>
      <c r="K44" s="593" t="b">
        <f>FALSE</f>
        <v>0</v>
      </c>
      <c r="L44" s="594">
        <v>2013</v>
      </c>
      <c r="M44" s="595">
        <v>0</v>
      </c>
      <c r="N44" s="595">
        <v>0</v>
      </c>
      <c r="O44" s="595">
        <v>0</v>
      </c>
      <c r="P44" s="595">
        <v>0</v>
      </c>
      <c r="Q44" s="596">
        <v>41361</v>
      </c>
      <c r="R44" s="596">
        <v>41361</v>
      </c>
    </row>
    <row r="45" spans="1:18" ht="12.75">
      <c r="A45" s="590">
        <v>2013</v>
      </c>
      <c r="B45" s="591" t="s">
        <v>481</v>
      </c>
      <c r="C45" s="591" t="s">
        <v>482</v>
      </c>
      <c r="D45" s="592">
        <v>1021011</v>
      </c>
      <c r="E45" s="592">
        <v>1</v>
      </c>
      <c r="F45" s="592"/>
      <c r="G45" s="592">
        <v>780</v>
      </c>
      <c r="H45" s="592" t="s">
        <v>150</v>
      </c>
      <c r="I45" s="592"/>
      <c r="J45" s="592" t="s">
        <v>448</v>
      </c>
      <c r="K45" s="593" t="b">
        <f>TRUE</f>
        <v>1</v>
      </c>
      <c r="L45" s="594">
        <v>2013</v>
      </c>
      <c r="M45" s="595">
        <v>0</v>
      </c>
      <c r="N45" s="595">
        <v>0</v>
      </c>
      <c r="O45" s="595">
        <v>0</v>
      </c>
      <c r="P45" s="595">
        <v>0</v>
      </c>
      <c r="Q45" s="596">
        <v>41361</v>
      </c>
      <c r="R45" s="596">
        <v>41361</v>
      </c>
    </row>
    <row r="46" spans="1:18" ht="12.75">
      <c r="A46" s="590">
        <v>2013</v>
      </c>
      <c r="B46" s="591" t="s">
        <v>481</v>
      </c>
      <c r="C46" s="591" t="s">
        <v>482</v>
      </c>
      <c r="D46" s="592">
        <v>1021011</v>
      </c>
      <c r="E46" s="592">
        <v>1</v>
      </c>
      <c r="F46" s="592"/>
      <c r="G46" s="592">
        <v>800</v>
      </c>
      <c r="H46" s="592">
        <v>13.1</v>
      </c>
      <c r="I46" s="592"/>
      <c r="J46" s="592" t="s">
        <v>449</v>
      </c>
      <c r="K46" s="593" t="b">
        <f>TRUE</f>
        <v>1</v>
      </c>
      <c r="L46" s="594">
        <v>2013</v>
      </c>
      <c r="M46" s="595">
        <v>0</v>
      </c>
      <c r="N46" s="595">
        <v>0</v>
      </c>
      <c r="O46" s="595">
        <v>0</v>
      </c>
      <c r="P46" s="595">
        <v>0</v>
      </c>
      <c r="Q46" s="596">
        <v>41361</v>
      </c>
      <c r="R46" s="596">
        <v>41361</v>
      </c>
    </row>
    <row r="47" spans="1:18" ht="12.75">
      <c r="A47" s="590">
        <v>2013</v>
      </c>
      <c r="B47" s="591" t="s">
        <v>481</v>
      </c>
      <c r="C47" s="591" t="s">
        <v>482</v>
      </c>
      <c r="D47" s="592">
        <v>1021011</v>
      </c>
      <c r="E47" s="592">
        <v>1</v>
      </c>
      <c r="F47" s="592"/>
      <c r="G47" s="592">
        <v>580</v>
      </c>
      <c r="H47" s="592">
        <v>11.1</v>
      </c>
      <c r="I47" s="592"/>
      <c r="J47" s="592" t="s">
        <v>429</v>
      </c>
      <c r="K47" s="593" t="b">
        <f>FALSE</f>
        <v>0</v>
      </c>
      <c r="L47" s="594">
        <v>2013</v>
      </c>
      <c r="M47" s="595">
        <v>10915139.42</v>
      </c>
      <c r="N47" s="595">
        <v>0</v>
      </c>
      <c r="O47" s="595">
        <v>12203062</v>
      </c>
      <c r="P47" s="595">
        <v>12006826.01</v>
      </c>
      <c r="Q47" s="596">
        <v>41361</v>
      </c>
      <c r="R47" s="596">
        <v>41361</v>
      </c>
    </row>
    <row r="48" spans="1:18" ht="12.75">
      <c r="A48" s="590">
        <v>2013</v>
      </c>
      <c r="B48" s="591" t="s">
        <v>481</v>
      </c>
      <c r="C48" s="591" t="s">
        <v>482</v>
      </c>
      <c r="D48" s="592">
        <v>1021011</v>
      </c>
      <c r="E48" s="592">
        <v>1</v>
      </c>
      <c r="F48" s="592"/>
      <c r="G48" s="592">
        <v>570</v>
      </c>
      <c r="H48" s="592">
        <v>11</v>
      </c>
      <c r="I48" s="592"/>
      <c r="J48" s="592" t="s">
        <v>111</v>
      </c>
      <c r="K48" s="593" t="b">
        <f>FALSE</f>
        <v>0</v>
      </c>
      <c r="L48" s="594">
        <v>2013</v>
      </c>
      <c r="M48" s="595">
        <v>0</v>
      </c>
      <c r="N48" s="595">
        <v>0</v>
      </c>
      <c r="O48" s="595">
        <v>0</v>
      </c>
      <c r="P48" s="595">
        <v>0</v>
      </c>
      <c r="Q48" s="596">
        <v>41361</v>
      </c>
      <c r="R48" s="596">
        <v>41361</v>
      </c>
    </row>
    <row r="49" spans="1:18" ht="12.75">
      <c r="A49" s="590">
        <v>2013</v>
      </c>
      <c r="B49" s="591" t="s">
        <v>481</v>
      </c>
      <c r="C49" s="591" t="s">
        <v>482</v>
      </c>
      <c r="D49" s="592">
        <v>1021011</v>
      </c>
      <c r="E49" s="592">
        <v>1</v>
      </c>
      <c r="F49" s="592"/>
      <c r="G49" s="592">
        <v>160</v>
      </c>
      <c r="H49" s="592" t="s">
        <v>37</v>
      </c>
      <c r="I49" s="592"/>
      <c r="J49" s="592" t="s">
        <v>396</v>
      </c>
      <c r="K49" s="593" t="b">
        <f>TRUE</f>
        <v>1</v>
      </c>
      <c r="L49" s="594">
        <v>2013</v>
      </c>
      <c r="M49" s="595">
        <v>0</v>
      </c>
      <c r="N49" s="595">
        <v>0</v>
      </c>
      <c r="O49" s="595">
        <v>0</v>
      </c>
      <c r="P49" s="595">
        <v>0</v>
      </c>
      <c r="Q49" s="596">
        <v>41361</v>
      </c>
      <c r="R49" s="596">
        <v>41361</v>
      </c>
    </row>
    <row r="50" spans="1:18" ht="12.75">
      <c r="A50" s="590">
        <v>2013</v>
      </c>
      <c r="B50" s="591" t="s">
        <v>481</v>
      </c>
      <c r="C50" s="591" t="s">
        <v>482</v>
      </c>
      <c r="D50" s="592">
        <v>1021011</v>
      </c>
      <c r="E50" s="592">
        <v>1</v>
      </c>
      <c r="F50" s="592"/>
      <c r="G50" s="592">
        <v>530</v>
      </c>
      <c r="H50" s="592">
        <v>9.8</v>
      </c>
      <c r="I50" s="592" t="s">
        <v>490</v>
      </c>
      <c r="J50" s="592" t="s">
        <v>425</v>
      </c>
      <c r="K50" s="593" t="b">
        <f>FALSE</f>
        <v>0</v>
      </c>
      <c r="L50" s="594">
        <v>2013</v>
      </c>
      <c r="M50" s="595">
        <v>0.0756</v>
      </c>
      <c r="N50" s="595">
        <v>0.1061</v>
      </c>
      <c r="O50" s="595">
        <v>0.0797</v>
      </c>
      <c r="P50" s="595">
        <v>0.0782</v>
      </c>
      <c r="Q50" s="596">
        <v>41361</v>
      </c>
      <c r="R50" s="596">
        <v>41361</v>
      </c>
    </row>
    <row r="51" spans="1:18" ht="12.75">
      <c r="A51" s="590">
        <v>2013</v>
      </c>
      <c r="B51" s="591" t="s">
        <v>481</v>
      </c>
      <c r="C51" s="591" t="s">
        <v>482</v>
      </c>
      <c r="D51" s="592">
        <v>1021011</v>
      </c>
      <c r="E51" s="592">
        <v>1</v>
      </c>
      <c r="F51" s="592"/>
      <c r="G51" s="592">
        <v>670</v>
      </c>
      <c r="H51" s="592">
        <v>12.1</v>
      </c>
      <c r="I51" s="592"/>
      <c r="J51" s="592" t="s">
        <v>437</v>
      </c>
      <c r="K51" s="593" t="b">
        <f>TRUE</f>
        <v>1</v>
      </c>
      <c r="L51" s="594">
        <v>2013</v>
      </c>
      <c r="M51" s="595">
        <v>0</v>
      </c>
      <c r="N51" s="595">
        <v>0</v>
      </c>
      <c r="O51" s="595">
        <v>0</v>
      </c>
      <c r="P51" s="595">
        <v>931390.39</v>
      </c>
      <c r="Q51" s="596">
        <v>41361</v>
      </c>
      <c r="R51" s="596">
        <v>41361</v>
      </c>
    </row>
    <row r="52" spans="1:18" ht="12.75">
      <c r="A52" s="590">
        <v>2013</v>
      </c>
      <c r="B52" s="591" t="s">
        <v>481</v>
      </c>
      <c r="C52" s="591" t="s">
        <v>482</v>
      </c>
      <c r="D52" s="592">
        <v>1021011</v>
      </c>
      <c r="E52" s="592">
        <v>1</v>
      </c>
      <c r="F52" s="592"/>
      <c r="G52" s="592">
        <v>80</v>
      </c>
      <c r="H52" s="592" t="s">
        <v>22</v>
      </c>
      <c r="I52" s="592"/>
      <c r="J52" s="592" t="s">
        <v>389</v>
      </c>
      <c r="K52" s="593" t="b">
        <f>TRUE</f>
        <v>1</v>
      </c>
      <c r="L52" s="594">
        <v>2013</v>
      </c>
      <c r="M52" s="595">
        <v>0</v>
      </c>
      <c r="N52" s="595">
        <v>0</v>
      </c>
      <c r="O52" s="595">
        <v>0</v>
      </c>
      <c r="P52" s="595">
        <v>0</v>
      </c>
      <c r="Q52" s="596">
        <v>41361</v>
      </c>
      <c r="R52" s="596">
        <v>41361</v>
      </c>
    </row>
    <row r="53" spans="1:18" ht="12.75">
      <c r="A53" s="590">
        <v>2013</v>
      </c>
      <c r="B53" s="591" t="s">
        <v>481</v>
      </c>
      <c r="C53" s="591" t="s">
        <v>482</v>
      </c>
      <c r="D53" s="592">
        <v>1021011</v>
      </c>
      <c r="E53" s="592">
        <v>1</v>
      </c>
      <c r="F53" s="592"/>
      <c r="G53" s="592">
        <v>380</v>
      </c>
      <c r="H53" s="592">
        <v>6.2</v>
      </c>
      <c r="I53" s="592" t="s">
        <v>492</v>
      </c>
      <c r="J53" s="592" t="s">
        <v>412</v>
      </c>
      <c r="K53" s="593" t="b">
        <f>FALSE</f>
        <v>0</v>
      </c>
      <c r="L53" s="594">
        <v>2013</v>
      </c>
      <c r="M53" s="595">
        <v>0.4081</v>
      </c>
      <c r="N53" s="595">
        <v>0.4477</v>
      </c>
      <c r="O53" s="595">
        <v>0.4441</v>
      </c>
      <c r="P53" s="595">
        <v>0.4502</v>
      </c>
      <c r="Q53" s="596">
        <v>41361</v>
      </c>
      <c r="R53" s="596">
        <v>41361</v>
      </c>
    </row>
    <row r="54" spans="1:18" ht="12.75">
      <c r="A54" s="590">
        <v>2013</v>
      </c>
      <c r="B54" s="591" t="s">
        <v>481</v>
      </c>
      <c r="C54" s="591" t="s">
        <v>482</v>
      </c>
      <c r="D54" s="592">
        <v>1021011</v>
      </c>
      <c r="E54" s="592">
        <v>1</v>
      </c>
      <c r="F54" s="592"/>
      <c r="G54" s="592">
        <v>910</v>
      </c>
      <c r="H54" s="592" t="s">
        <v>174</v>
      </c>
      <c r="I54" s="592"/>
      <c r="J54" s="592" t="s">
        <v>459</v>
      </c>
      <c r="K54" s="593" t="b">
        <f>TRUE</f>
        <v>1</v>
      </c>
      <c r="L54" s="594">
        <v>2013</v>
      </c>
      <c r="M54" s="595">
        <v>0</v>
      </c>
      <c r="N54" s="595">
        <v>0</v>
      </c>
      <c r="O54" s="595">
        <v>0</v>
      </c>
      <c r="P54" s="595">
        <v>0</v>
      </c>
      <c r="Q54" s="596">
        <v>41361</v>
      </c>
      <c r="R54" s="596">
        <v>41361</v>
      </c>
    </row>
    <row r="55" spans="1:18" ht="12.75">
      <c r="A55" s="590">
        <v>2013</v>
      </c>
      <c r="B55" s="591" t="s">
        <v>481</v>
      </c>
      <c r="C55" s="591" t="s">
        <v>482</v>
      </c>
      <c r="D55" s="592">
        <v>1021011</v>
      </c>
      <c r="E55" s="592">
        <v>1</v>
      </c>
      <c r="F55" s="592"/>
      <c r="G55" s="592">
        <v>840</v>
      </c>
      <c r="H55" s="592">
        <v>13.5</v>
      </c>
      <c r="I55" s="592"/>
      <c r="J55" s="592" t="s">
        <v>453</v>
      </c>
      <c r="K55" s="593" t="b">
        <f>TRUE</f>
        <v>1</v>
      </c>
      <c r="L55" s="594">
        <v>2013</v>
      </c>
      <c r="M55" s="595">
        <v>0</v>
      </c>
      <c r="N55" s="595">
        <v>0</v>
      </c>
      <c r="O55" s="595">
        <v>0</v>
      </c>
      <c r="P55" s="595">
        <v>0</v>
      </c>
      <c r="Q55" s="596">
        <v>41361</v>
      </c>
      <c r="R55" s="596">
        <v>41361</v>
      </c>
    </row>
    <row r="56" spans="1:18" ht="12.75">
      <c r="A56" s="590">
        <v>2013</v>
      </c>
      <c r="B56" s="591" t="s">
        <v>481</v>
      </c>
      <c r="C56" s="591" t="s">
        <v>482</v>
      </c>
      <c r="D56" s="592">
        <v>1021011</v>
      </c>
      <c r="E56" s="592">
        <v>1</v>
      </c>
      <c r="F56" s="592"/>
      <c r="G56" s="592">
        <v>50</v>
      </c>
      <c r="H56" s="592" t="s">
        <v>16</v>
      </c>
      <c r="I56" s="592"/>
      <c r="J56" s="592" t="s">
        <v>386</v>
      </c>
      <c r="K56" s="593" t="b">
        <f>TRUE</f>
        <v>1</v>
      </c>
      <c r="L56" s="594">
        <v>2013</v>
      </c>
      <c r="M56" s="595">
        <v>0</v>
      </c>
      <c r="N56" s="595">
        <v>0</v>
      </c>
      <c r="O56" s="595">
        <v>0</v>
      </c>
      <c r="P56" s="595">
        <v>0</v>
      </c>
      <c r="Q56" s="596">
        <v>41361</v>
      </c>
      <c r="R56" s="596">
        <v>41361</v>
      </c>
    </row>
    <row r="57" spans="1:18" ht="12.75">
      <c r="A57" s="590">
        <v>2013</v>
      </c>
      <c r="B57" s="591" t="s">
        <v>481</v>
      </c>
      <c r="C57" s="591" t="s">
        <v>482</v>
      </c>
      <c r="D57" s="592">
        <v>1021011</v>
      </c>
      <c r="E57" s="592">
        <v>1</v>
      </c>
      <c r="F57" s="592"/>
      <c r="G57" s="592">
        <v>220</v>
      </c>
      <c r="H57" s="592">
        <v>4.1</v>
      </c>
      <c r="I57" s="592"/>
      <c r="J57" s="592" t="s">
        <v>400</v>
      </c>
      <c r="K57" s="593" t="b">
        <f>FALSE</f>
        <v>0</v>
      </c>
      <c r="L57" s="594">
        <v>2013</v>
      </c>
      <c r="M57" s="595">
        <v>0</v>
      </c>
      <c r="N57" s="595">
        <v>0</v>
      </c>
      <c r="O57" s="595">
        <v>0</v>
      </c>
      <c r="P57" s="595">
        <v>0</v>
      </c>
      <c r="Q57" s="596">
        <v>41361</v>
      </c>
      <c r="R57" s="596">
        <v>41361</v>
      </c>
    </row>
    <row r="58" spans="1:18" ht="12.75">
      <c r="A58" s="590">
        <v>2013</v>
      </c>
      <c r="B58" s="591" t="s">
        <v>481</v>
      </c>
      <c r="C58" s="591" t="s">
        <v>482</v>
      </c>
      <c r="D58" s="592">
        <v>1021011</v>
      </c>
      <c r="E58" s="592">
        <v>1</v>
      </c>
      <c r="F58" s="592"/>
      <c r="G58" s="592">
        <v>170</v>
      </c>
      <c r="H58" s="592" t="s">
        <v>40</v>
      </c>
      <c r="I58" s="592"/>
      <c r="J58" s="592" t="s">
        <v>397</v>
      </c>
      <c r="K58" s="593" t="b">
        <f>TRUE</f>
        <v>1</v>
      </c>
      <c r="L58" s="594">
        <v>2013</v>
      </c>
      <c r="M58" s="595">
        <v>464051.55</v>
      </c>
      <c r="N58" s="595">
        <v>755389.64</v>
      </c>
      <c r="O58" s="595">
        <v>884400</v>
      </c>
      <c r="P58" s="595">
        <v>791159.57</v>
      </c>
      <c r="Q58" s="596">
        <v>41361</v>
      </c>
      <c r="R58" s="596">
        <v>41361</v>
      </c>
    </row>
    <row r="59" spans="1:18" ht="12.75">
      <c r="A59" s="590">
        <v>2013</v>
      </c>
      <c r="B59" s="591" t="s">
        <v>481</v>
      </c>
      <c r="C59" s="591" t="s">
        <v>482</v>
      </c>
      <c r="D59" s="592">
        <v>1021011</v>
      </c>
      <c r="E59" s="592">
        <v>1</v>
      </c>
      <c r="F59" s="592"/>
      <c r="G59" s="592">
        <v>870</v>
      </c>
      <c r="H59" s="592">
        <v>14</v>
      </c>
      <c r="I59" s="592"/>
      <c r="J59" s="592" t="s">
        <v>167</v>
      </c>
      <c r="K59" s="593" t="b">
        <f>TRUE</f>
        <v>1</v>
      </c>
      <c r="L59" s="594">
        <v>2013</v>
      </c>
      <c r="M59" s="595">
        <v>0</v>
      </c>
      <c r="N59" s="595">
        <v>0</v>
      </c>
      <c r="O59" s="595">
        <v>0</v>
      </c>
      <c r="P59" s="595">
        <v>0</v>
      </c>
      <c r="Q59" s="596">
        <v>41361</v>
      </c>
      <c r="R59" s="596">
        <v>41361</v>
      </c>
    </row>
    <row r="60" spans="1:18" ht="12.75">
      <c r="A60" s="590">
        <v>2013</v>
      </c>
      <c r="B60" s="591" t="s">
        <v>481</v>
      </c>
      <c r="C60" s="591" t="s">
        <v>482</v>
      </c>
      <c r="D60" s="592">
        <v>1021011</v>
      </c>
      <c r="E60" s="592">
        <v>1</v>
      </c>
      <c r="F60" s="592"/>
      <c r="G60" s="592">
        <v>410</v>
      </c>
      <c r="H60" s="592">
        <v>8</v>
      </c>
      <c r="I60" s="592"/>
      <c r="J60" s="592" t="s">
        <v>80</v>
      </c>
      <c r="K60" s="593" t="b">
        <f>TRUE</f>
        <v>1</v>
      </c>
      <c r="L60" s="594">
        <v>2013</v>
      </c>
      <c r="M60" s="595">
        <v>0</v>
      </c>
      <c r="N60" s="595">
        <v>0</v>
      </c>
      <c r="O60" s="595">
        <v>0</v>
      </c>
      <c r="P60" s="595">
        <v>0</v>
      </c>
      <c r="Q60" s="596">
        <v>41361</v>
      </c>
      <c r="R60" s="596">
        <v>41361</v>
      </c>
    </row>
    <row r="61" spans="1:18" ht="12.75">
      <c r="A61" s="590">
        <v>2013</v>
      </c>
      <c r="B61" s="591" t="s">
        <v>481</v>
      </c>
      <c r="C61" s="591" t="s">
        <v>482</v>
      </c>
      <c r="D61" s="592">
        <v>1021011</v>
      </c>
      <c r="E61" s="592">
        <v>1</v>
      </c>
      <c r="F61" s="592"/>
      <c r="G61" s="592">
        <v>440</v>
      </c>
      <c r="H61" s="592">
        <v>9</v>
      </c>
      <c r="I61" s="592"/>
      <c r="J61" s="592" t="s">
        <v>85</v>
      </c>
      <c r="K61" s="593" t="b">
        <f>FALSE</f>
        <v>0</v>
      </c>
      <c r="L61" s="594">
        <v>2013</v>
      </c>
      <c r="M61" s="595">
        <v>0</v>
      </c>
      <c r="N61" s="595">
        <v>0</v>
      </c>
      <c r="O61" s="595">
        <v>0</v>
      </c>
      <c r="P61" s="595">
        <v>0</v>
      </c>
      <c r="Q61" s="596">
        <v>41361</v>
      </c>
      <c r="R61" s="596">
        <v>41361</v>
      </c>
    </row>
    <row r="62" spans="1:18" ht="12.75">
      <c r="A62" s="590">
        <v>2013</v>
      </c>
      <c r="B62" s="591" t="s">
        <v>481</v>
      </c>
      <c r="C62" s="591" t="s">
        <v>482</v>
      </c>
      <c r="D62" s="592">
        <v>1021011</v>
      </c>
      <c r="E62" s="592">
        <v>1</v>
      </c>
      <c r="F62" s="592"/>
      <c r="G62" s="592">
        <v>110</v>
      </c>
      <c r="H62" s="592" t="s">
        <v>28</v>
      </c>
      <c r="I62" s="592"/>
      <c r="J62" s="592" t="s">
        <v>392</v>
      </c>
      <c r="K62" s="593" t="b">
        <f>TRUE</f>
        <v>1</v>
      </c>
      <c r="L62" s="594">
        <v>2013</v>
      </c>
      <c r="M62" s="595">
        <v>0</v>
      </c>
      <c r="N62" s="595">
        <v>0</v>
      </c>
      <c r="O62" s="595">
        <v>0</v>
      </c>
      <c r="P62" s="595">
        <v>0</v>
      </c>
      <c r="Q62" s="596">
        <v>41361</v>
      </c>
      <c r="R62" s="596">
        <v>41361</v>
      </c>
    </row>
    <row r="63" spans="1:18" ht="12.75">
      <c r="A63" s="590">
        <v>2013</v>
      </c>
      <c r="B63" s="591" t="s">
        <v>481</v>
      </c>
      <c r="C63" s="591" t="s">
        <v>482</v>
      </c>
      <c r="D63" s="592">
        <v>1021011</v>
      </c>
      <c r="E63" s="592">
        <v>1</v>
      </c>
      <c r="F63" s="592"/>
      <c r="G63" s="592">
        <v>290</v>
      </c>
      <c r="H63" s="592" t="s">
        <v>60</v>
      </c>
      <c r="I63" s="592"/>
      <c r="J63" s="592" t="s">
        <v>403</v>
      </c>
      <c r="K63" s="593" t="b">
        <f>FALSE</f>
        <v>0</v>
      </c>
      <c r="L63" s="594">
        <v>2013</v>
      </c>
      <c r="M63" s="595">
        <v>0</v>
      </c>
      <c r="N63" s="595">
        <v>0</v>
      </c>
      <c r="O63" s="595">
        <v>0</v>
      </c>
      <c r="P63" s="595">
        <v>0</v>
      </c>
      <c r="Q63" s="596">
        <v>41361</v>
      </c>
      <c r="R63" s="596">
        <v>41361</v>
      </c>
    </row>
    <row r="64" spans="1:18" ht="12.75">
      <c r="A64" s="590">
        <v>2013</v>
      </c>
      <c r="B64" s="591" t="s">
        <v>481</v>
      </c>
      <c r="C64" s="591" t="s">
        <v>482</v>
      </c>
      <c r="D64" s="592">
        <v>1021011</v>
      </c>
      <c r="E64" s="592">
        <v>1</v>
      </c>
      <c r="F64" s="592"/>
      <c r="G64" s="592">
        <v>940</v>
      </c>
      <c r="H64" s="592">
        <v>14.4</v>
      </c>
      <c r="I64" s="592"/>
      <c r="J64" s="592" t="s">
        <v>462</v>
      </c>
      <c r="K64" s="593" t="b">
        <f>TRUE</f>
        <v>1</v>
      </c>
      <c r="L64" s="594">
        <v>2013</v>
      </c>
      <c r="M64" s="595">
        <v>0</v>
      </c>
      <c r="N64" s="595">
        <v>0</v>
      </c>
      <c r="O64" s="595">
        <v>0</v>
      </c>
      <c r="P64" s="595">
        <v>0</v>
      </c>
      <c r="Q64" s="596">
        <v>41361</v>
      </c>
      <c r="R64" s="596">
        <v>41361</v>
      </c>
    </row>
    <row r="65" spans="1:18" ht="12.75">
      <c r="A65" s="590">
        <v>2013</v>
      </c>
      <c r="B65" s="591" t="s">
        <v>481</v>
      </c>
      <c r="C65" s="591" t="s">
        <v>482</v>
      </c>
      <c r="D65" s="592">
        <v>1021011</v>
      </c>
      <c r="E65" s="592">
        <v>1</v>
      </c>
      <c r="F65" s="592"/>
      <c r="G65" s="592">
        <v>360</v>
      </c>
      <c r="H65" s="592">
        <v>6.1</v>
      </c>
      <c r="I65" s="592"/>
      <c r="J65" s="592" t="s">
        <v>410</v>
      </c>
      <c r="K65" s="593" t="b">
        <f>TRUE</f>
        <v>1</v>
      </c>
      <c r="L65" s="594">
        <v>2013</v>
      </c>
      <c r="M65" s="595">
        <v>0</v>
      </c>
      <c r="N65" s="595">
        <v>0</v>
      </c>
      <c r="O65" s="595">
        <v>0</v>
      </c>
      <c r="P65" s="595">
        <v>0</v>
      </c>
      <c r="Q65" s="596">
        <v>41361</v>
      </c>
      <c r="R65" s="596">
        <v>41361</v>
      </c>
    </row>
    <row r="66" spans="1:18" ht="12.75">
      <c r="A66" s="590">
        <v>2013</v>
      </c>
      <c r="B66" s="591" t="s">
        <v>481</v>
      </c>
      <c r="C66" s="591" t="s">
        <v>482</v>
      </c>
      <c r="D66" s="592">
        <v>1021011</v>
      </c>
      <c r="E66" s="592">
        <v>1</v>
      </c>
      <c r="F66" s="592"/>
      <c r="G66" s="592">
        <v>100</v>
      </c>
      <c r="H66" s="592" t="s">
        <v>26</v>
      </c>
      <c r="I66" s="592"/>
      <c r="J66" s="592" t="s">
        <v>391</v>
      </c>
      <c r="K66" s="593" t="b">
        <f>TRUE</f>
        <v>1</v>
      </c>
      <c r="L66" s="594">
        <v>2013</v>
      </c>
      <c r="M66" s="595">
        <v>1337141.05</v>
      </c>
      <c r="N66" s="595">
        <v>26005.76</v>
      </c>
      <c r="O66" s="595">
        <v>100000</v>
      </c>
      <c r="P66" s="595">
        <v>159888.32</v>
      </c>
      <c r="Q66" s="596">
        <v>41361</v>
      </c>
      <c r="R66" s="596">
        <v>41361</v>
      </c>
    </row>
    <row r="67" spans="1:18" ht="12.75">
      <c r="A67" s="590">
        <v>2013</v>
      </c>
      <c r="B67" s="591" t="s">
        <v>481</v>
      </c>
      <c r="C67" s="591" t="s">
        <v>482</v>
      </c>
      <c r="D67" s="592">
        <v>1021011</v>
      </c>
      <c r="E67" s="592">
        <v>1</v>
      </c>
      <c r="F67" s="592"/>
      <c r="G67" s="592">
        <v>400</v>
      </c>
      <c r="H67" s="592">
        <v>7</v>
      </c>
      <c r="I67" s="592"/>
      <c r="J67" s="592" t="s">
        <v>414</v>
      </c>
      <c r="K67" s="593" t="b">
        <f>TRUE</f>
        <v>1</v>
      </c>
      <c r="L67" s="594">
        <v>2013</v>
      </c>
      <c r="M67" s="595">
        <v>0</v>
      </c>
      <c r="N67" s="595">
        <v>0</v>
      </c>
      <c r="O67" s="595">
        <v>0</v>
      </c>
      <c r="P67" s="595">
        <v>0</v>
      </c>
      <c r="Q67" s="596">
        <v>41361</v>
      </c>
      <c r="R67" s="596">
        <v>41361</v>
      </c>
    </row>
    <row r="68" spans="1:18" ht="12.75">
      <c r="A68" s="590">
        <v>2013</v>
      </c>
      <c r="B68" s="591" t="s">
        <v>481</v>
      </c>
      <c r="C68" s="591" t="s">
        <v>482</v>
      </c>
      <c r="D68" s="592">
        <v>1021011</v>
      </c>
      <c r="E68" s="592">
        <v>1</v>
      </c>
      <c r="F68" s="592"/>
      <c r="G68" s="592">
        <v>560</v>
      </c>
      <c r="H68" s="592">
        <v>10.1</v>
      </c>
      <c r="I68" s="592"/>
      <c r="J68" s="592" t="s">
        <v>428</v>
      </c>
      <c r="K68" s="593" t="b">
        <f>FALSE</f>
        <v>0</v>
      </c>
      <c r="L68" s="594">
        <v>2013</v>
      </c>
      <c r="M68" s="595">
        <v>0</v>
      </c>
      <c r="N68" s="595">
        <v>0</v>
      </c>
      <c r="O68" s="595">
        <v>0</v>
      </c>
      <c r="P68" s="595">
        <v>0</v>
      </c>
      <c r="Q68" s="596">
        <v>41361</v>
      </c>
      <c r="R68" s="596">
        <v>41361</v>
      </c>
    </row>
    <row r="69" spans="1:18" ht="12.75">
      <c r="A69" s="590">
        <v>2013</v>
      </c>
      <c r="B69" s="591" t="s">
        <v>481</v>
      </c>
      <c r="C69" s="591" t="s">
        <v>482</v>
      </c>
      <c r="D69" s="592">
        <v>1021011</v>
      </c>
      <c r="E69" s="592">
        <v>1</v>
      </c>
      <c r="F69" s="592"/>
      <c r="G69" s="592">
        <v>130</v>
      </c>
      <c r="H69" s="592">
        <v>2.1</v>
      </c>
      <c r="I69" s="592"/>
      <c r="J69" s="592" t="s">
        <v>393</v>
      </c>
      <c r="K69" s="593" t="b">
        <f>TRUE</f>
        <v>1</v>
      </c>
      <c r="L69" s="594">
        <v>2013</v>
      </c>
      <c r="M69" s="595">
        <v>25207681.97</v>
      </c>
      <c r="N69" s="595">
        <v>26129253.64</v>
      </c>
      <c r="O69" s="595">
        <v>29218500.44</v>
      </c>
      <c r="P69" s="595">
        <v>26785030.3</v>
      </c>
      <c r="Q69" s="596">
        <v>41361</v>
      </c>
      <c r="R69" s="596">
        <v>41361</v>
      </c>
    </row>
    <row r="70" spans="1:18" ht="12.75">
      <c r="A70" s="590">
        <v>2013</v>
      </c>
      <c r="B70" s="591" t="s">
        <v>481</v>
      </c>
      <c r="C70" s="591" t="s">
        <v>482</v>
      </c>
      <c r="D70" s="592">
        <v>1021011</v>
      </c>
      <c r="E70" s="592">
        <v>1</v>
      </c>
      <c r="F70" s="592"/>
      <c r="G70" s="592">
        <v>650</v>
      </c>
      <c r="H70" s="592">
        <v>11.6</v>
      </c>
      <c r="I70" s="592"/>
      <c r="J70" s="592" t="s">
        <v>436</v>
      </c>
      <c r="K70" s="593" t="b">
        <f>TRUE</f>
        <v>1</v>
      </c>
      <c r="L70" s="594">
        <v>2013</v>
      </c>
      <c r="M70" s="595">
        <v>0</v>
      </c>
      <c r="N70" s="595">
        <v>0</v>
      </c>
      <c r="O70" s="595">
        <v>0</v>
      </c>
      <c r="P70" s="595">
        <v>0</v>
      </c>
      <c r="Q70" s="596">
        <v>41361</v>
      </c>
      <c r="R70" s="596">
        <v>41361</v>
      </c>
    </row>
    <row r="71" spans="1:18" ht="12.75">
      <c r="A71" s="590">
        <v>2013</v>
      </c>
      <c r="B71" s="591" t="s">
        <v>481</v>
      </c>
      <c r="C71" s="591" t="s">
        <v>482</v>
      </c>
      <c r="D71" s="592">
        <v>1021011</v>
      </c>
      <c r="E71" s="592">
        <v>1</v>
      </c>
      <c r="F71" s="592"/>
      <c r="G71" s="592">
        <v>90</v>
      </c>
      <c r="H71" s="592">
        <v>1.2</v>
      </c>
      <c r="I71" s="592"/>
      <c r="J71" s="592" t="s">
        <v>390</v>
      </c>
      <c r="K71" s="593" t="b">
        <f>TRUE</f>
        <v>1</v>
      </c>
      <c r="L71" s="594">
        <v>2013</v>
      </c>
      <c r="M71" s="595">
        <v>5591089.83</v>
      </c>
      <c r="N71" s="595">
        <v>2650951.14</v>
      </c>
      <c r="O71" s="595">
        <v>5708395.48</v>
      </c>
      <c r="P71" s="595">
        <v>5020533.81</v>
      </c>
      <c r="Q71" s="596">
        <v>41361</v>
      </c>
      <c r="R71" s="596">
        <v>41361</v>
      </c>
    </row>
    <row r="72" spans="1:18" ht="12.75">
      <c r="A72" s="590">
        <v>2013</v>
      </c>
      <c r="B72" s="591" t="s">
        <v>481</v>
      </c>
      <c r="C72" s="591" t="s">
        <v>482</v>
      </c>
      <c r="D72" s="592">
        <v>1021011</v>
      </c>
      <c r="E72" s="592">
        <v>1</v>
      </c>
      <c r="F72" s="592"/>
      <c r="G72" s="592">
        <v>820</v>
      </c>
      <c r="H72" s="592">
        <v>13.3</v>
      </c>
      <c r="I72" s="592"/>
      <c r="J72" s="592" t="s">
        <v>451</v>
      </c>
      <c r="K72" s="593" t="b">
        <f>TRUE</f>
        <v>1</v>
      </c>
      <c r="L72" s="594">
        <v>2013</v>
      </c>
      <c r="M72" s="595">
        <v>0</v>
      </c>
      <c r="N72" s="595">
        <v>0</v>
      </c>
      <c r="O72" s="595">
        <v>0</v>
      </c>
      <c r="P72" s="595">
        <v>0</v>
      </c>
      <c r="Q72" s="596">
        <v>41361</v>
      </c>
      <c r="R72" s="596">
        <v>41361</v>
      </c>
    </row>
    <row r="73" spans="1:18" ht="12.75">
      <c r="A73" s="590">
        <v>2013</v>
      </c>
      <c r="B73" s="591" t="s">
        <v>481</v>
      </c>
      <c r="C73" s="591" t="s">
        <v>482</v>
      </c>
      <c r="D73" s="592">
        <v>1021011</v>
      </c>
      <c r="E73" s="592">
        <v>1</v>
      </c>
      <c r="F73" s="592"/>
      <c r="G73" s="592">
        <v>150</v>
      </c>
      <c r="H73" s="592" t="s">
        <v>35</v>
      </c>
      <c r="I73" s="592"/>
      <c r="J73" s="592" t="s">
        <v>395</v>
      </c>
      <c r="K73" s="593" t="b">
        <f>TRUE</f>
        <v>1</v>
      </c>
      <c r="L73" s="594">
        <v>2013</v>
      </c>
      <c r="M73" s="595">
        <v>0</v>
      </c>
      <c r="N73" s="595">
        <v>0</v>
      </c>
      <c r="O73" s="595">
        <v>0</v>
      </c>
      <c r="P73" s="595">
        <v>0</v>
      </c>
      <c r="Q73" s="596">
        <v>41361</v>
      </c>
      <c r="R73" s="596">
        <v>41361</v>
      </c>
    </row>
    <row r="74" spans="1:18" ht="12.75">
      <c r="A74" s="590">
        <v>2013</v>
      </c>
      <c r="B74" s="591" t="s">
        <v>481</v>
      </c>
      <c r="C74" s="591" t="s">
        <v>482</v>
      </c>
      <c r="D74" s="592">
        <v>1021011</v>
      </c>
      <c r="E74" s="592">
        <v>1</v>
      </c>
      <c r="F74" s="592"/>
      <c r="G74" s="592">
        <v>340</v>
      </c>
      <c r="H74" s="592">
        <v>5.2</v>
      </c>
      <c r="I74" s="592"/>
      <c r="J74" s="592" t="s">
        <v>409</v>
      </c>
      <c r="K74" s="593" t="b">
        <f>FALSE</f>
        <v>0</v>
      </c>
      <c r="L74" s="594">
        <v>2013</v>
      </c>
      <c r="M74" s="595">
        <v>0</v>
      </c>
      <c r="N74" s="595">
        <v>0</v>
      </c>
      <c r="O74" s="595">
        <v>0</v>
      </c>
      <c r="P74" s="595">
        <v>0</v>
      </c>
      <c r="Q74" s="596">
        <v>41361</v>
      </c>
      <c r="R74" s="596">
        <v>41361</v>
      </c>
    </row>
    <row r="75" spans="1:18" ht="12.75">
      <c r="A75" s="590">
        <v>2013</v>
      </c>
      <c r="B75" s="591" t="s">
        <v>481</v>
      </c>
      <c r="C75" s="591" t="s">
        <v>482</v>
      </c>
      <c r="D75" s="592">
        <v>1021011</v>
      </c>
      <c r="E75" s="592">
        <v>1</v>
      </c>
      <c r="F75" s="592"/>
      <c r="G75" s="592">
        <v>250</v>
      </c>
      <c r="H75" s="592" t="s">
        <v>54</v>
      </c>
      <c r="I75" s="592"/>
      <c r="J75" s="592" t="s">
        <v>403</v>
      </c>
      <c r="K75" s="593" t="b">
        <f>FALSE</f>
        <v>0</v>
      </c>
      <c r="L75" s="594">
        <v>2013</v>
      </c>
      <c r="M75" s="595">
        <v>0</v>
      </c>
      <c r="N75" s="595">
        <v>0</v>
      </c>
      <c r="O75" s="595">
        <v>1052793.84</v>
      </c>
      <c r="P75" s="595">
        <v>1052793.84</v>
      </c>
      <c r="Q75" s="596">
        <v>41361</v>
      </c>
      <c r="R75" s="596">
        <v>41361</v>
      </c>
    </row>
    <row r="76" spans="1:18" ht="12.75">
      <c r="A76" s="590">
        <v>2013</v>
      </c>
      <c r="B76" s="591" t="s">
        <v>481</v>
      </c>
      <c r="C76" s="591" t="s">
        <v>482</v>
      </c>
      <c r="D76" s="592">
        <v>1021011</v>
      </c>
      <c r="E76" s="592">
        <v>1</v>
      </c>
      <c r="F76" s="592"/>
      <c r="G76" s="592">
        <v>370</v>
      </c>
      <c r="H76" s="592" t="s">
        <v>73</v>
      </c>
      <c r="I76" s="592"/>
      <c r="J76" s="592" t="s">
        <v>411</v>
      </c>
      <c r="K76" s="593" t="b">
        <f>TRUE</f>
        <v>1</v>
      </c>
      <c r="L76" s="594">
        <v>2013</v>
      </c>
      <c r="M76" s="595">
        <v>0</v>
      </c>
      <c r="N76" s="595">
        <v>0</v>
      </c>
      <c r="O76" s="595">
        <v>0</v>
      </c>
      <c r="P76" s="595">
        <v>0</v>
      </c>
      <c r="Q76" s="596">
        <v>41361</v>
      </c>
      <c r="R76" s="596">
        <v>41361</v>
      </c>
    </row>
    <row r="77" spans="1:18" ht="12.75">
      <c r="A77" s="590">
        <v>2013</v>
      </c>
      <c r="B77" s="591" t="s">
        <v>481</v>
      </c>
      <c r="C77" s="591" t="s">
        <v>482</v>
      </c>
      <c r="D77" s="592">
        <v>1021011</v>
      </c>
      <c r="E77" s="592">
        <v>1</v>
      </c>
      <c r="F77" s="592"/>
      <c r="G77" s="592">
        <v>750</v>
      </c>
      <c r="H77" s="592" t="s">
        <v>144</v>
      </c>
      <c r="I77" s="592"/>
      <c r="J77" s="592" t="s">
        <v>445</v>
      </c>
      <c r="K77" s="593" t="b">
        <f>FALSE</f>
        <v>0</v>
      </c>
      <c r="L77" s="594">
        <v>2013</v>
      </c>
      <c r="M77" s="595">
        <v>0</v>
      </c>
      <c r="N77" s="595">
        <v>0</v>
      </c>
      <c r="O77" s="595">
        <v>0</v>
      </c>
      <c r="P77" s="595">
        <v>0</v>
      </c>
      <c r="Q77" s="596">
        <v>41361</v>
      </c>
      <c r="R77" s="596">
        <v>41361</v>
      </c>
    </row>
    <row r="78" spans="1:18" ht="12.75">
      <c r="A78" s="590">
        <v>2013</v>
      </c>
      <c r="B78" s="591" t="s">
        <v>481</v>
      </c>
      <c r="C78" s="591" t="s">
        <v>482</v>
      </c>
      <c r="D78" s="592">
        <v>1021011</v>
      </c>
      <c r="E78" s="592">
        <v>1</v>
      </c>
      <c r="F78" s="592"/>
      <c r="G78" s="592">
        <v>420</v>
      </c>
      <c r="H78" s="592">
        <v>8.1</v>
      </c>
      <c r="I78" s="592" t="s">
        <v>491</v>
      </c>
      <c r="J78" s="592" t="s">
        <v>415</v>
      </c>
      <c r="K78" s="593" t="b">
        <f>FALSE</f>
        <v>0</v>
      </c>
      <c r="L78" s="594">
        <v>2013</v>
      </c>
      <c r="M78" s="595">
        <v>686104.21</v>
      </c>
      <c r="N78" s="595">
        <v>2283237.55</v>
      </c>
      <c r="O78" s="595">
        <v>697224.01</v>
      </c>
      <c r="P78" s="595">
        <v>2632856.16</v>
      </c>
      <c r="Q78" s="596">
        <v>41361</v>
      </c>
      <c r="R78" s="596">
        <v>41361</v>
      </c>
    </row>
    <row r="79" spans="1:18" ht="12.75">
      <c r="A79" s="590">
        <v>2013</v>
      </c>
      <c r="B79" s="591" t="s">
        <v>481</v>
      </c>
      <c r="C79" s="591" t="s">
        <v>482</v>
      </c>
      <c r="D79" s="592">
        <v>1021011</v>
      </c>
      <c r="E79" s="592">
        <v>1</v>
      </c>
      <c r="F79" s="592"/>
      <c r="G79" s="592">
        <v>610</v>
      </c>
      <c r="H79" s="592" t="s">
        <v>118</v>
      </c>
      <c r="I79" s="592"/>
      <c r="J79" s="592" t="s">
        <v>432</v>
      </c>
      <c r="K79" s="593" t="b">
        <f>TRUE</f>
        <v>1</v>
      </c>
      <c r="L79" s="594">
        <v>2013</v>
      </c>
      <c r="M79" s="595">
        <v>0</v>
      </c>
      <c r="N79" s="595">
        <v>0</v>
      </c>
      <c r="O79" s="595">
        <v>994525</v>
      </c>
      <c r="P79" s="595">
        <v>0</v>
      </c>
      <c r="Q79" s="596">
        <v>41361</v>
      </c>
      <c r="R79" s="596">
        <v>41361</v>
      </c>
    </row>
    <row r="80" spans="1:18" ht="12.75">
      <c r="A80" s="590">
        <v>2013</v>
      </c>
      <c r="B80" s="591" t="s">
        <v>481</v>
      </c>
      <c r="C80" s="591" t="s">
        <v>482</v>
      </c>
      <c r="D80" s="592">
        <v>1021011</v>
      </c>
      <c r="E80" s="592">
        <v>1</v>
      </c>
      <c r="F80" s="592"/>
      <c r="G80" s="592">
        <v>590</v>
      </c>
      <c r="H80" s="592">
        <v>11.2</v>
      </c>
      <c r="I80" s="592"/>
      <c r="J80" s="592" t="s">
        <v>430</v>
      </c>
      <c r="K80" s="593" t="b">
        <f>TRUE</f>
        <v>1</v>
      </c>
      <c r="L80" s="594">
        <v>2013</v>
      </c>
      <c r="M80" s="595">
        <v>0</v>
      </c>
      <c r="N80" s="595">
        <v>0</v>
      </c>
      <c r="O80" s="595">
        <v>0</v>
      </c>
      <c r="P80" s="595">
        <v>0</v>
      </c>
      <c r="Q80" s="596">
        <v>41361</v>
      </c>
      <c r="R80" s="596">
        <v>41361</v>
      </c>
    </row>
    <row r="81" spans="1:18" ht="12.75">
      <c r="A81" s="590">
        <v>2013</v>
      </c>
      <c r="B81" s="591" t="s">
        <v>481</v>
      </c>
      <c r="C81" s="591" t="s">
        <v>482</v>
      </c>
      <c r="D81" s="592">
        <v>1021011</v>
      </c>
      <c r="E81" s="592">
        <v>1</v>
      </c>
      <c r="F81" s="592"/>
      <c r="G81" s="592">
        <v>880</v>
      </c>
      <c r="H81" s="592">
        <v>14.1</v>
      </c>
      <c r="I81" s="592"/>
      <c r="J81" s="592" t="s">
        <v>456</v>
      </c>
      <c r="K81" s="593" t="b">
        <f>TRUE</f>
        <v>1</v>
      </c>
      <c r="L81" s="594">
        <v>2013</v>
      </c>
      <c r="M81" s="595">
        <v>0</v>
      </c>
      <c r="N81" s="595">
        <v>0</v>
      </c>
      <c r="O81" s="595">
        <v>0</v>
      </c>
      <c r="P81" s="595">
        <v>0</v>
      </c>
      <c r="Q81" s="596">
        <v>41361</v>
      </c>
      <c r="R81" s="596">
        <v>41361</v>
      </c>
    </row>
    <row r="82" spans="1:18" ht="12.75">
      <c r="A82" s="590">
        <v>2013</v>
      </c>
      <c r="B82" s="591" t="s">
        <v>481</v>
      </c>
      <c r="C82" s="591" t="s">
        <v>482</v>
      </c>
      <c r="D82" s="592">
        <v>1021011</v>
      </c>
      <c r="E82" s="592">
        <v>1</v>
      </c>
      <c r="F82" s="592"/>
      <c r="G82" s="592">
        <v>450</v>
      </c>
      <c r="H82" s="592">
        <v>9.1</v>
      </c>
      <c r="I82" s="592" t="s">
        <v>493</v>
      </c>
      <c r="J82" s="592" t="s">
        <v>417</v>
      </c>
      <c r="K82" s="593" t="b">
        <f>TRUE</f>
        <v>1</v>
      </c>
      <c r="L82" s="594">
        <v>2013</v>
      </c>
      <c r="M82" s="595">
        <v>0.0756</v>
      </c>
      <c r="N82" s="595">
        <v>0.1061</v>
      </c>
      <c r="O82" s="595">
        <v>0.0797</v>
      </c>
      <c r="P82" s="595">
        <v>0.0782</v>
      </c>
      <c r="Q82" s="596">
        <v>41361</v>
      </c>
      <c r="R82" s="596">
        <v>41361</v>
      </c>
    </row>
    <row r="83" spans="1:18" ht="12.75">
      <c r="A83" s="590">
        <v>2013</v>
      </c>
      <c r="B83" s="591" t="s">
        <v>481</v>
      </c>
      <c r="C83" s="591" t="s">
        <v>482</v>
      </c>
      <c r="D83" s="592">
        <v>1021011</v>
      </c>
      <c r="E83" s="592">
        <v>1</v>
      </c>
      <c r="F83" s="592"/>
      <c r="G83" s="592">
        <v>600</v>
      </c>
      <c r="H83" s="592">
        <v>11.3</v>
      </c>
      <c r="I83" s="592" t="s">
        <v>494</v>
      </c>
      <c r="J83" s="592" t="s">
        <v>431</v>
      </c>
      <c r="K83" s="593" t="b">
        <f>TRUE</f>
        <v>1</v>
      </c>
      <c r="L83" s="594">
        <v>2013</v>
      </c>
      <c r="M83" s="595">
        <v>0</v>
      </c>
      <c r="N83" s="595">
        <v>0</v>
      </c>
      <c r="O83" s="595">
        <v>1841325</v>
      </c>
      <c r="P83" s="595">
        <v>0</v>
      </c>
      <c r="Q83" s="596">
        <v>41361</v>
      </c>
      <c r="R83" s="596">
        <v>41361</v>
      </c>
    </row>
    <row r="84" spans="1:18" ht="12.75">
      <c r="A84" s="590">
        <v>2013</v>
      </c>
      <c r="B84" s="591" t="s">
        <v>481</v>
      </c>
      <c r="C84" s="591" t="s">
        <v>482</v>
      </c>
      <c r="D84" s="592">
        <v>1021011</v>
      </c>
      <c r="E84" s="592">
        <v>1</v>
      </c>
      <c r="F84" s="592"/>
      <c r="G84" s="592">
        <v>120</v>
      </c>
      <c r="H84" s="592">
        <v>2</v>
      </c>
      <c r="I84" s="592" t="s">
        <v>495</v>
      </c>
      <c r="J84" s="592" t="s">
        <v>30</v>
      </c>
      <c r="K84" s="593" t="b">
        <f>FALSE</f>
        <v>0</v>
      </c>
      <c r="L84" s="594">
        <v>2013</v>
      </c>
      <c r="M84" s="595">
        <v>34609335.7</v>
      </c>
      <c r="N84" s="595">
        <v>31037203.93</v>
      </c>
      <c r="O84" s="595">
        <v>40495660.86</v>
      </c>
      <c r="P84" s="595">
        <v>36384626.19</v>
      </c>
      <c r="Q84" s="596">
        <v>41361</v>
      </c>
      <c r="R84" s="596">
        <v>41361</v>
      </c>
    </row>
    <row r="85" spans="1:18" ht="12.75">
      <c r="A85" s="590">
        <v>2013</v>
      </c>
      <c r="B85" s="591" t="s">
        <v>481</v>
      </c>
      <c r="C85" s="591" t="s">
        <v>482</v>
      </c>
      <c r="D85" s="592">
        <v>1021011</v>
      </c>
      <c r="E85" s="592">
        <v>1</v>
      </c>
      <c r="F85" s="592"/>
      <c r="G85" s="592">
        <v>430</v>
      </c>
      <c r="H85" s="592">
        <v>8.2</v>
      </c>
      <c r="I85" s="592" t="s">
        <v>496</v>
      </c>
      <c r="J85" s="592" t="s">
        <v>416</v>
      </c>
      <c r="K85" s="593" t="b">
        <f>FALSE</f>
        <v>0</v>
      </c>
      <c r="L85" s="594">
        <v>2013</v>
      </c>
      <c r="M85" s="595">
        <v>686104.21</v>
      </c>
      <c r="N85" s="595">
        <v>2283237.55</v>
      </c>
      <c r="O85" s="595">
        <v>3654017.85</v>
      </c>
      <c r="P85" s="595">
        <v>5589650</v>
      </c>
      <c r="Q85" s="596">
        <v>41361</v>
      </c>
      <c r="R85" s="596">
        <v>41361</v>
      </c>
    </row>
    <row r="86" spans="1:18" ht="12.75">
      <c r="A86" s="590">
        <v>2013</v>
      </c>
      <c r="B86" s="591" t="s">
        <v>481</v>
      </c>
      <c r="C86" s="591" t="s">
        <v>482</v>
      </c>
      <c r="D86" s="592">
        <v>1021011</v>
      </c>
      <c r="E86" s="592">
        <v>1</v>
      </c>
      <c r="F86" s="592"/>
      <c r="G86" s="592">
        <v>850</v>
      </c>
      <c r="H86" s="592">
        <v>13.6</v>
      </c>
      <c r="I86" s="592"/>
      <c r="J86" s="592" t="s">
        <v>454</v>
      </c>
      <c r="K86" s="593" t="b">
        <f>TRUE</f>
        <v>1</v>
      </c>
      <c r="L86" s="594">
        <v>2013</v>
      </c>
      <c r="M86" s="595">
        <v>0</v>
      </c>
      <c r="N86" s="595">
        <v>0</v>
      </c>
      <c r="O86" s="595">
        <v>0</v>
      </c>
      <c r="P86" s="595">
        <v>0</v>
      </c>
      <c r="Q86" s="596">
        <v>41361</v>
      </c>
      <c r="R86" s="596">
        <v>41361</v>
      </c>
    </row>
    <row r="87" spans="1:18" ht="12.75">
      <c r="A87" s="590">
        <v>2013</v>
      </c>
      <c r="B87" s="591" t="s">
        <v>481</v>
      </c>
      <c r="C87" s="591" t="s">
        <v>482</v>
      </c>
      <c r="D87" s="592">
        <v>1021011</v>
      </c>
      <c r="E87" s="592">
        <v>1</v>
      </c>
      <c r="F87" s="592"/>
      <c r="G87" s="592">
        <v>660</v>
      </c>
      <c r="H87" s="592">
        <v>12</v>
      </c>
      <c r="I87" s="592"/>
      <c r="J87" s="592" t="s">
        <v>128</v>
      </c>
      <c r="K87" s="593" t="b">
        <f>TRUE</f>
        <v>1</v>
      </c>
      <c r="L87" s="594">
        <v>2013</v>
      </c>
      <c r="M87" s="595">
        <v>0</v>
      </c>
      <c r="N87" s="595">
        <v>0</v>
      </c>
      <c r="O87" s="595">
        <v>0</v>
      </c>
      <c r="P87" s="595">
        <v>0</v>
      </c>
      <c r="Q87" s="596">
        <v>41361</v>
      </c>
      <c r="R87" s="596">
        <v>41361</v>
      </c>
    </row>
    <row r="88" spans="1:18" ht="12.75">
      <c r="A88" s="590">
        <v>2013</v>
      </c>
      <c r="B88" s="591" t="s">
        <v>481</v>
      </c>
      <c r="C88" s="591" t="s">
        <v>482</v>
      </c>
      <c r="D88" s="592">
        <v>1021011</v>
      </c>
      <c r="E88" s="592">
        <v>1</v>
      </c>
      <c r="F88" s="592"/>
      <c r="G88" s="592">
        <v>470</v>
      </c>
      <c r="H88" s="592">
        <v>9.3</v>
      </c>
      <c r="I88" s="592" t="s">
        <v>493</v>
      </c>
      <c r="J88" s="592" t="s">
        <v>497</v>
      </c>
      <c r="K88" s="593" t="b">
        <f>TRUE</f>
        <v>1</v>
      </c>
      <c r="L88" s="594">
        <v>2013</v>
      </c>
      <c r="M88" s="595">
        <v>0.0756</v>
      </c>
      <c r="N88" s="595">
        <v>0.1061</v>
      </c>
      <c r="O88" s="595">
        <v>0.0797</v>
      </c>
      <c r="P88" s="595">
        <v>0.0782</v>
      </c>
      <c r="Q88" s="596">
        <v>41361</v>
      </c>
      <c r="R88" s="596">
        <v>41361</v>
      </c>
    </row>
    <row r="89" spans="1:18" ht="12.75">
      <c r="A89" s="590">
        <v>2013</v>
      </c>
      <c r="B89" s="591" t="s">
        <v>481</v>
      </c>
      <c r="C89" s="591" t="s">
        <v>482</v>
      </c>
      <c r="D89" s="592">
        <v>1021011</v>
      </c>
      <c r="E89" s="592">
        <v>1</v>
      </c>
      <c r="F89" s="592"/>
      <c r="G89" s="592">
        <v>930</v>
      </c>
      <c r="H89" s="592" t="s">
        <v>178</v>
      </c>
      <c r="I89" s="592"/>
      <c r="J89" s="592" t="s">
        <v>461</v>
      </c>
      <c r="K89" s="593" t="b">
        <f>TRUE</f>
        <v>1</v>
      </c>
      <c r="L89" s="594">
        <v>2013</v>
      </c>
      <c r="M89" s="595">
        <v>0</v>
      </c>
      <c r="N89" s="595">
        <v>0</v>
      </c>
      <c r="O89" s="595">
        <v>0</v>
      </c>
      <c r="P89" s="595">
        <v>0</v>
      </c>
      <c r="Q89" s="596">
        <v>41361</v>
      </c>
      <c r="R89" s="596">
        <v>41361</v>
      </c>
    </row>
    <row r="90" spans="1:18" ht="12.75">
      <c r="A90" s="590">
        <v>2013</v>
      </c>
      <c r="B90" s="591" t="s">
        <v>481</v>
      </c>
      <c r="C90" s="591" t="s">
        <v>482</v>
      </c>
      <c r="D90" s="592">
        <v>1021011</v>
      </c>
      <c r="E90" s="592">
        <v>1</v>
      </c>
      <c r="F90" s="592"/>
      <c r="G90" s="592">
        <v>480</v>
      </c>
      <c r="H90" s="592">
        <v>9.4</v>
      </c>
      <c r="I90" s="592" t="s">
        <v>485</v>
      </c>
      <c r="J90" s="592" t="s">
        <v>419</v>
      </c>
      <c r="K90" s="593" t="b">
        <f>FALSE</f>
        <v>0</v>
      </c>
      <c r="L90" s="594">
        <v>2013</v>
      </c>
      <c r="M90" s="595">
        <v>0.0756</v>
      </c>
      <c r="N90" s="595">
        <v>0.1061</v>
      </c>
      <c r="O90" s="595">
        <v>0.0797</v>
      </c>
      <c r="P90" s="595">
        <v>0.0782</v>
      </c>
      <c r="Q90" s="596">
        <v>41361</v>
      </c>
      <c r="R90" s="596">
        <v>41361</v>
      </c>
    </row>
    <row r="91" spans="1:18" ht="12.75">
      <c r="A91" s="590">
        <v>2013</v>
      </c>
      <c r="B91" s="591" t="s">
        <v>481</v>
      </c>
      <c r="C91" s="591" t="s">
        <v>482</v>
      </c>
      <c r="D91" s="592">
        <v>1021011</v>
      </c>
      <c r="E91" s="592">
        <v>1</v>
      </c>
      <c r="F91" s="592"/>
      <c r="G91" s="592">
        <v>540</v>
      </c>
      <c r="H91" s="592" t="s">
        <v>106</v>
      </c>
      <c r="I91" s="592" t="s">
        <v>499</v>
      </c>
      <c r="J91" s="592" t="s">
        <v>426</v>
      </c>
      <c r="K91" s="593" t="b">
        <f>FALSE</f>
        <v>0</v>
      </c>
      <c r="L91" s="594">
        <v>2013</v>
      </c>
      <c r="M91" s="595">
        <v>0.0756</v>
      </c>
      <c r="N91" s="595">
        <v>0.1061</v>
      </c>
      <c r="O91" s="595">
        <v>0.0797</v>
      </c>
      <c r="P91" s="595">
        <v>0.0782</v>
      </c>
      <c r="Q91" s="596">
        <v>41361</v>
      </c>
      <c r="R91" s="596">
        <v>41361</v>
      </c>
    </row>
    <row r="92" spans="1:18" ht="12.75">
      <c r="A92" s="590">
        <v>2013</v>
      </c>
      <c r="B92" s="591" t="s">
        <v>481</v>
      </c>
      <c r="C92" s="591" t="s">
        <v>482</v>
      </c>
      <c r="D92" s="592">
        <v>1021011</v>
      </c>
      <c r="E92" s="592">
        <v>1</v>
      </c>
      <c r="F92" s="592"/>
      <c r="G92" s="592">
        <v>760</v>
      </c>
      <c r="H92" s="592">
        <v>12.4</v>
      </c>
      <c r="I92" s="592"/>
      <c r="J92" s="592" t="s">
        <v>446</v>
      </c>
      <c r="K92" s="593" t="b">
        <f>TRUE</f>
        <v>1</v>
      </c>
      <c r="L92" s="594">
        <v>2013</v>
      </c>
      <c r="M92" s="595">
        <v>0</v>
      </c>
      <c r="N92" s="595">
        <v>0</v>
      </c>
      <c r="O92" s="595">
        <v>0</v>
      </c>
      <c r="P92" s="595">
        <v>0</v>
      </c>
      <c r="Q92" s="596">
        <v>41361</v>
      </c>
      <c r="R92" s="596">
        <v>41361</v>
      </c>
    </row>
    <row r="93" spans="1:18" ht="12.75">
      <c r="A93" s="590">
        <v>2013</v>
      </c>
      <c r="B93" s="591" t="s">
        <v>481</v>
      </c>
      <c r="C93" s="591" t="s">
        <v>482</v>
      </c>
      <c r="D93" s="592">
        <v>1021011</v>
      </c>
      <c r="E93" s="592">
        <v>1</v>
      </c>
      <c r="F93" s="592"/>
      <c r="G93" s="592">
        <v>190</v>
      </c>
      <c r="H93" s="592">
        <v>2.2</v>
      </c>
      <c r="I93" s="592"/>
      <c r="J93" s="592" t="s">
        <v>399</v>
      </c>
      <c r="K93" s="593" t="b">
        <f>FALSE</f>
        <v>0</v>
      </c>
      <c r="L93" s="594">
        <v>2013</v>
      </c>
      <c r="M93" s="595">
        <v>9401653.73</v>
      </c>
      <c r="N93" s="595">
        <v>4907950.29</v>
      </c>
      <c r="O93" s="595">
        <v>11277160.42</v>
      </c>
      <c r="P93" s="595">
        <v>9599595.89</v>
      </c>
      <c r="Q93" s="596">
        <v>41361</v>
      </c>
      <c r="R93" s="596">
        <v>41361</v>
      </c>
    </row>
    <row r="94" spans="1:18" ht="12.75">
      <c r="A94" s="590">
        <v>2013</v>
      </c>
      <c r="B94" s="591" t="s">
        <v>481</v>
      </c>
      <c r="C94" s="591" t="s">
        <v>482</v>
      </c>
      <c r="D94" s="592">
        <v>1021011</v>
      </c>
      <c r="E94" s="592">
        <v>1</v>
      </c>
      <c r="F94" s="592"/>
      <c r="G94" s="592">
        <v>40</v>
      </c>
      <c r="H94" s="592" t="s">
        <v>14</v>
      </c>
      <c r="I94" s="592"/>
      <c r="J94" s="592" t="s">
        <v>385</v>
      </c>
      <c r="K94" s="593" t="b">
        <f>TRUE</f>
        <v>1</v>
      </c>
      <c r="L94" s="594">
        <v>2013</v>
      </c>
      <c r="M94" s="595">
        <v>0</v>
      </c>
      <c r="N94" s="595">
        <v>0</v>
      </c>
      <c r="O94" s="595">
        <v>0</v>
      </c>
      <c r="P94" s="595">
        <v>0</v>
      </c>
      <c r="Q94" s="596">
        <v>41361</v>
      </c>
      <c r="R94" s="596">
        <v>41361</v>
      </c>
    </row>
    <row r="95" spans="1:18" ht="12.75">
      <c r="A95" s="590">
        <v>2013</v>
      </c>
      <c r="B95" s="591" t="s">
        <v>481</v>
      </c>
      <c r="C95" s="591" t="s">
        <v>482</v>
      </c>
      <c r="D95" s="592">
        <v>1021011</v>
      </c>
      <c r="E95" s="592">
        <v>1</v>
      </c>
      <c r="F95" s="592"/>
      <c r="G95" s="592">
        <v>510</v>
      </c>
      <c r="H95" s="592">
        <v>9.7</v>
      </c>
      <c r="I95" s="592"/>
      <c r="J95" s="592" t="s">
        <v>423</v>
      </c>
      <c r="K95" s="593" t="b">
        <f>TRUE</f>
        <v>1</v>
      </c>
      <c r="L95" s="594">
        <v>2013</v>
      </c>
      <c r="M95" s="595">
        <v>0</v>
      </c>
      <c r="N95" s="595">
        <v>0</v>
      </c>
      <c r="O95" s="595">
        <v>0</v>
      </c>
      <c r="P95" s="595">
        <v>0</v>
      </c>
      <c r="Q95" s="596">
        <v>41361</v>
      </c>
      <c r="R95" s="596">
        <v>41361</v>
      </c>
    </row>
    <row r="96" spans="1:18" ht="12.75">
      <c r="A96" s="590">
        <v>2013</v>
      </c>
      <c r="B96" s="591" t="s">
        <v>481</v>
      </c>
      <c r="C96" s="591" t="s">
        <v>482</v>
      </c>
      <c r="D96" s="592">
        <v>1021011</v>
      </c>
      <c r="E96" s="592">
        <v>1</v>
      </c>
      <c r="F96" s="592"/>
      <c r="G96" s="592">
        <v>505</v>
      </c>
      <c r="H96" s="592" t="s">
        <v>98</v>
      </c>
      <c r="I96" s="592" t="s">
        <v>498</v>
      </c>
      <c r="J96" s="592" t="s">
        <v>422</v>
      </c>
      <c r="K96" s="593" t="b">
        <f>FALSE</f>
        <v>0</v>
      </c>
      <c r="L96" s="594">
        <v>2013</v>
      </c>
      <c r="M96" s="595">
        <v>0.0643</v>
      </c>
      <c r="N96" s="595">
        <v>0.0743</v>
      </c>
      <c r="O96" s="595">
        <v>0.0224</v>
      </c>
      <c r="P96" s="595">
        <v>0.0811</v>
      </c>
      <c r="Q96" s="596">
        <v>41361</v>
      </c>
      <c r="R96" s="596">
        <v>41361</v>
      </c>
    </row>
    <row r="97" spans="1:18" ht="12.75">
      <c r="A97" s="590">
        <v>2013</v>
      </c>
      <c r="B97" s="591" t="s">
        <v>481</v>
      </c>
      <c r="C97" s="591" t="s">
        <v>482</v>
      </c>
      <c r="D97" s="592">
        <v>1021011</v>
      </c>
      <c r="E97" s="592">
        <v>1</v>
      </c>
      <c r="F97" s="592"/>
      <c r="G97" s="592">
        <v>140</v>
      </c>
      <c r="H97" s="592" t="s">
        <v>33</v>
      </c>
      <c r="I97" s="592"/>
      <c r="J97" s="592" t="s">
        <v>394</v>
      </c>
      <c r="K97" s="593" t="b">
        <f>TRUE</f>
        <v>1</v>
      </c>
      <c r="L97" s="594">
        <v>2013</v>
      </c>
      <c r="M97" s="595">
        <v>0</v>
      </c>
      <c r="N97" s="595">
        <v>0</v>
      </c>
      <c r="O97" s="595">
        <v>50000</v>
      </c>
      <c r="P97" s="595">
        <v>0</v>
      </c>
      <c r="Q97" s="596">
        <v>41361</v>
      </c>
      <c r="R97" s="596">
        <v>41361</v>
      </c>
    </row>
    <row r="98" spans="1:18" ht="12.75">
      <c r="A98" s="590">
        <v>2013</v>
      </c>
      <c r="B98" s="591" t="s">
        <v>481</v>
      </c>
      <c r="C98" s="591" t="s">
        <v>482</v>
      </c>
      <c r="D98" s="592">
        <v>1021011</v>
      </c>
      <c r="E98" s="592">
        <v>1</v>
      </c>
      <c r="F98" s="592"/>
      <c r="G98" s="592">
        <v>740</v>
      </c>
      <c r="H98" s="592" t="s">
        <v>142</v>
      </c>
      <c r="I98" s="592"/>
      <c r="J98" s="592" t="s">
        <v>444</v>
      </c>
      <c r="K98" s="593" t="b">
        <f>FALSE</f>
        <v>0</v>
      </c>
      <c r="L98" s="594">
        <v>2013</v>
      </c>
      <c r="M98" s="595">
        <v>0</v>
      </c>
      <c r="N98" s="595">
        <v>0</v>
      </c>
      <c r="O98" s="595">
        <v>1221877.52</v>
      </c>
      <c r="P98" s="595">
        <v>1128926.89</v>
      </c>
      <c r="Q98" s="596">
        <v>41361</v>
      </c>
      <c r="R98" s="596">
        <v>41361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Janusz Sidor</cp:lastModifiedBy>
  <cp:lastPrinted>2013-03-14T13:47:37Z</cp:lastPrinted>
  <dcterms:created xsi:type="dcterms:W3CDTF">2010-09-17T02:30:46Z</dcterms:created>
  <dcterms:modified xsi:type="dcterms:W3CDTF">2013-03-28T08:18:16Z</dcterms:modified>
  <cp:category/>
  <cp:version/>
  <cp:contentType/>
  <cp:contentStatus/>
  <cp:revision>1</cp:revision>
</cp:coreProperties>
</file>