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1010" yWindow="-15" windowWidth="13005" windowHeight="10290" tabRatio="688"/>
  </bookViews>
  <sheets>
    <sheet name="Zał.1_WPF_bazowy" sheetId="12" r:id="rId1"/>
    <sheet name="definicja" sheetId="8" state="hidden" r:id="rId2"/>
    <sheet name="DaneZrodlowe" sheetId="9" state="hidden" r:id="rId3"/>
    <sheet name="DaneZrodloweDoWsk" sheetId="15" state="hidden" r:id="rId4"/>
  </sheets>
  <functionGroups/>
  <definedNames>
    <definedName name="_xlnm._FilterDatabase" localSheetId="0" hidden="1">Zał.1_WPF_bazowy!$A$3:$A$98</definedName>
    <definedName name="_xlnm.Print_Area" localSheetId="0">Zał.1_WPF_bazowy!$B$2:$S$98</definedName>
    <definedName name="_xlnm.Print_Titles" localSheetId="0">Zał.1_WPF_bazowy!$B:$D,Zał.1_WPF_bazowy!$2:$3</definedName>
    <definedName name="Z_9360F695_77C0_4418_82C5_829A762C44E9_.wvu.Cols" localSheetId="0" hidden="1">Zał.1_WPF_bazowy!$A:$A,Zał.1_WPF_bazowy!$C:$C</definedName>
    <definedName name="Z_9360F695_77C0_4418_82C5_829A762C44E9_.wvu.FilterData" localSheetId="0" hidden="1">Zał.1_WPF_bazowy!$A$3:$A$98</definedName>
    <definedName name="Z_9360F695_77C0_4418_82C5_829A762C44E9_.wvu.PrintArea" localSheetId="0" hidden="1">Zał.1_WPF_bazowy!$B$2:$S$98</definedName>
    <definedName name="Z_9360F695_77C0_4418_82C5_829A762C44E9_.wvu.PrintTitles" localSheetId="0" hidden="1">Zał.1_WPF_bazowy!$B:$D,Zał.1_WPF_bazowy!$2:$3</definedName>
  </definedNames>
  <calcPr calcId="125725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S98" i="12"/>
  <c r="S97"/>
  <c r="S96"/>
  <c r="S95"/>
  <c r="S94"/>
  <c r="S93"/>
  <c r="S92"/>
  <c r="S90"/>
  <c r="S89"/>
  <c r="S88"/>
  <c r="S87"/>
  <c r="S86"/>
  <c r="S85"/>
  <c r="S84"/>
  <c r="S82"/>
  <c r="S81"/>
  <c r="S80"/>
  <c r="S79"/>
  <c r="S78"/>
  <c r="S77"/>
  <c r="S76"/>
  <c r="S75"/>
  <c r="S74"/>
  <c r="S73"/>
  <c r="S72"/>
  <c r="S71"/>
  <c r="S69"/>
  <c r="S68"/>
  <c r="S67"/>
  <c r="S66"/>
  <c r="S65"/>
  <c r="S64"/>
  <c r="S63"/>
  <c r="S62"/>
  <c r="S60"/>
  <c r="S59"/>
  <c r="S56"/>
  <c r="S55"/>
  <c r="S53"/>
  <c r="S52"/>
  <c r="S51"/>
  <c r="S50"/>
  <c r="S49"/>
  <c r="S48"/>
  <c r="S46"/>
  <c r="S45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98"/>
  <c r="R97"/>
  <c r="R96"/>
  <c r="R95"/>
  <c r="R94"/>
  <c r="R93"/>
  <c r="R92"/>
  <c r="R90"/>
  <c r="R89"/>
  <c r="R88"/>
  <c r="R87"/>
  <c r="R86"/>
  <c r="R85"/>
  <c r="R84"/>
  <c r="R82"/>
  <c r="R81"/>
  <c r="R80"/>
  <c r="R79"/>
  <c r="R78"/>
  <c r="R77"/>
  <c r="R76"/>
  <c r="R75"/>
  <c r="R74"/>
  <c r="R73"/>
  <c r="R72"/>
  <c r="R71"/>
  <c r="R69"/>
  <c r="R68"/>
  <c r="R67"/>
  <c r="R66"/>
  <c r="R65"/>
  <c r="R64"/>
  <c r="R63"/>
  <c r="R62"/>
  <c r="R60"/>
  <c r="R59"/>
  <c r="R56"/>
  <c r="R55"/>
  <c r="R53"/>
  <c r="R52"/>
  <c r="R51"/>
  <c r="R50"/>
  <c r="R49"/>
  <c r="R48"/>
  <c r="R46"/>
  <c r="R45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98"/>
  <c r="Q97"/>
  <c r="Q96"/>
  <c r="Q95"/>
  <c r="Q94"/>
  <c r="Q93"/>
  <c r="Q92"/>
  <c r="Q90"/>
  <c r="Q89"/>
  <c r="Q88"/>
  <c r="Q87"/>
  <c r="Q86"/>
  <c r="Q85"/>
  <c r="Q84"/>
  <c r="Q82"/>
  <c r="Q81"/>
  <c r="Q80"/>
  <c r="Q79"/>
  <c r="Q78"/>
  <c r="Q77"/>
  <c r="Q76"/>
  <c r="Q75"/>
  <c r="Q74"/>
  <c r="Q73"/>
  <c r="Q72"/>
  <c r="Q71"/>
  <c r="Q69"/>
  <c r="Q68"/>
  <c r="Q67"/>
  <c r="Q66"/>
  <c r="Q65"/>
  <c r="Q64"/>
  <c r="Q63"/>
  <c r="Q62"/>
  <c r="Q60"/>
  <c r="Q59"/>
  <c r="Q56"/>
  <c r="Q55"/>
  <c r="Q53"/>
  <c r="Q52"/>
  <c r="Q51"/>
  <c r="Q50"/>
  <c r="Q49"/>
  <c r="Q48"/>
  <c r="Q46"/>
  <c r="Q45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98"/>
  <c r="P97"/>
  <c r="P96"/>
  <c r="P95"/>
  <c r="P94"/>
  <c r="P93"/>
  <c r="P92"/>
  <c r="P90"/>
  <c r="P89"/>
  <c r="P88"/>
  <c r="P87"/>
  <c r="P86"/>
  <c r="P85"/>
  <c r="P84"/>
  <c r="P82"/>
  <c r="P81"/>
  <c r="P80"/>
  <c r="P79"/>
  <c r="P78"/>
  <c r="P77"/>
  <c r="P76"/>
  <c r="P75"/>
  <c r="P74"/>
  <c r="P73"/>
  <c r="P72"/>
  <c r="P71"/>
  <c r="P69"/>
  <c r="P68"/>
  <c r="P67"/>
  <c r="P66"/>
  <c r="P65"/>
  <c r="P64"/>
  <c r="P63"/>
  <c r="P62"/>
  <c r="P60"/>
  <c r="P59"/>
  <c r="P56"/>
  <c r="P55"/>
  <c r="P53"/>
  <c r="P52"/>
  <c r="P51"/>
  <c r="P50"/>
  <c r="P49"/>
  <c r="P48"/>
  <c r="P46"/>
  <c r="P45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98"/>
  <c r="O97"/>
  <c r="O96"/>
  <c r="O95"/>
  <c r="O94"/>
  <c r="O93"/>
  <c r="O92"/>
  <c r="O90"/>
  <c r="O89"/>
  <c r="O88"/>
  <c r="O87"/>
  <c r="O86"/>
  <c r="O85"/>
  <c r="O84"/>
  <c r="O82"/>
  <c r="O81"/>
  <c r="O80"/>
  <c r="O79"/>
  <c r="O78"/>
  <c r="O77"/>
  <c r="O76"/>
  <c r="O75"/>
  <c r="O74"/>
  <c r="O73"/>
  <c r="O72"/>
  <c r="O71"/>
  <c r="O69"/>
  <c r="O68"/>
  <c r="O67"/>
  <c r="O66"/>
  <c r="O65"/>
  <c r="O64"/>
  <c r="O63"/>
  <c r="O62"/>
  <c r="O60"/>
  <c r="O59"/>
  <c r="O56"/>
  <c r="O55"/>
  <c r="O53"/>
  <c r="O52"/>
  <c r="O51"/>
  <c r="O50"/>
  <c r="O49"/>
  <c r="O48"/>
  <c r="O46"/>
  <c r="O45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98"/>
  <c r="N97"/>
  <c r="N96"/>
  <c r="N95"/>
  <c r="N94"/>
  <c r="N93"/>
  <c r="N92"/>
  <c r="N90"/>
  <c r="N89"/>
  <c r="N88"/>
  <c r="N87"/>
  <c r="N86"/>
  <c r="N85"/>
  <c r="N84"/>
  <c r="N82"/>
  <c r="N81"/>
  <c r="N80"/>
  <c r="N79"/>
  <c r="N78"/>
  <c r="N77"/>
  <c r="N76"/>
  <c r="N75"/>
  <c r="N74"/>
  <c r="N73"/>
  <c r="N72"/>
  <c r="N71"/>
  <c r="N69"/>
  <c r="N68"/>
  <c r="N67"/>
  <c r="N66"/>
  <c r="N65"/>
  <c r="N64"/>
  <c r="N63"/>
  <c r="N62"/>
  <c r="N60"/>
  <c r="N59"/>
  <c r="N56"/>
  <c r="N55"/>
  <c r="N53"/>
  <c r="N52"/>
  <c r="N51"/>
  <c r="N50"/>
  <c r="N49"/>
  <c r="N48"/>
  <c r="N46"/>
  <c r="N45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98"/>
  <c r="M97"/>
  <c r="M96"/>
  <c r="M95"/>
  <c r="M94"/>
  <c r="M93"/>
  <c r="M92"/>
  <c r="M90"/>
  <c r="M89"/>
  <c r="M88"/>
  <c r="M87"/>
  <c r="M86"/>
  <c r="M85"/>
  <c r="M84"/>
  <c r="M82"/>
  <c r="M81"/>
  <c r="M80"/>
  <c r="M79"/>
  <c r="M78"/>
  <c r="M77"/>
  <c r="M76"/>
  <c r="M75"/>
  <c r="M74"/>
  <c r="M73"/>
  <c r="M72"/>
  <c r="M71"/>
  <c r="M69"/>
  <c r="M68"/>
  <c r="M67"/>
  <c r="M66"/>
  <c r="M65"/>
  <c r="M64"/>
  <c r="M63"/>
  <c r="M62"/>
  <c r="M60"/>
  <c r="M59"/>
  <c r="M56"/>
  <c r="M55"/>
  <c r="M53"/>
  <c r="M52"/>
  <c r="M51"/>
  <c r="M50"/>
  <c r="M49"/>
  <c r="M48"/>
  <c r="M46"/>
  <c r="M45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98"/>
  <c r="L97"/>
  <c r="L96"/>
  <c r="L95"/>
  <c r="L94"/>
  <c r="L93"/>
  <c r="L92"/>
  <c r="L90"/>
  <c r="L89"/>
  <c r="L88"/>
  <c r="L87"/>
  <c r="L86"/>
  <c r="L85"/>
  <c r="L84"/>
  <c r="L82"/>
  <c r="L81"/>
  <c r="L80"/>
  <c r="L79"/>
  <c r="L78"/>
  <c r="L77"/>
  <c r="L76"/>
  <c r="L75"/>
  <c r="L74"/>
  <c r="L73"/>
  <c r="L72"/>
  <c r="L71"/>
  <c r="L69"/>
  <c r="L68"/>
  <c r="L67"/>
  <c r="L66"/>
  <c r="L65"/>
  <c r="L64"/>
  <c r="L63"/>
  <c r="L62"/>
  <c r="L60"/>
  <c r="L59"/>
  <c r="L56"/>
  <c r="L55"/>
  <c r="L53"/>
  <c r="L52"/>
  <c r="L51"/>
  <c r="L50"/>
  <c r="L49"/>
  <c r="L48"/>
  <c r="L46"/>
  <c r="L45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98"/>
  <c r="K97"/>
  <c r="K96"/>
  <c r="K95"/>
  <c r="K94"/>
  <c r="K93"/>
  <c r="K92"/>
  <c r="K90"/>
  <c r="K89"/>
  <c r="K88"/>
  <c r="K87"/>
  <c r="K86"/>
  <c r="K85"/>
  <c r="K84"/>
  <c r="K82"/>
  <c r="K81"/>
  <c r="K80"/>
  <c r="K79"/>
  <c r="K78"/>
  <c r="K77"/>
  <c r="K76"/>
  <c r="K75"/>
  <c r="K74"/>
  <c r="K73"/>
  <c r="K72"/>
  <c r="K71"/>
  <c r="K69"/>
  <c r="K68"/>
  <c r="K67"/>
  <c r="K66"/>
  <c r="K65"/>
  <c r="K64"/>
  <c r="K63"/>
  <c r="K62"/>
  <c r="K60"/>
  <c r="K59"/>
  <c r="K56"/>
  <c r="K55"/>
  <c r="K53"/>
  <c r="K52"/>
  <c r="K51"/>
  <c r="K50"/>
  <c r="K49"/>
  <c r="K48"/>
  <c r="K46"/>
  <c r="K45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98"/>
  <c r="J97"/>
  <c r="J96"/>
  <c r="J95"/>
  <c r="J94"/>
  <c r="J93"/>
  <c r="J92"/>
  <c r="J90"/>
  <c r="J89"/>
  <c r="J88"/>
  <c r="J87"/>
  <c r="J86"/>
  <c r="J85"/>
  <c r="J84"/>
  <c r="J82"/>
  <c r="J81"/>
  <c r="J80"/>
  <c r="J79"/>
  <c r="J78"/>
  <c r="J77"/>
  <c r="J76"/>
  <c r="J75"/>
  <c r="J74"/>
  <c r="J73"/>
  <c r="J72"/>
  <c r="J71"/>
  <c r="J69"/>
  <c r="J68"/>
  <c r="J67"/>
  <c r="J66"/>
  <c r="J65"/>
  <c r="J64"/>
  <c r="J63"/>
  <c r="J62"/>
  <c r="J60"/>
  <c r="J59"/>
  <c r="J56"/>
  <c r="J55"/>
  <c r="J53"/>
  <c r="J52"/>
  <c r="J51"/>
  <c r="J50"/>
  <c r="J49"/>
  <c r="J48"/>
  <c r="J46"/>
  <c r="J4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98"/>
  <c r="I97"/>
  <c r="I96"/>
  <c r="I95"/>
  <c r="I94"/>
  <c r="I93"/>
  <c r="I92"/>
  <c r="I90"/>
  <c r="I89"/>
  <c r="I88"/>
  <c r="I87"/>
  <c r="I86"/>
  <c r="I85"/>
  <c r="I84"/>
  <c r="I82"/>
  <c r="I81"/>
  <c r="I80"/>
  <c r="I79"/>
  <c r="I78"/>
  <c r="I77"/>
  <c r="I76"/>
  <c r="I75"/>
  <c r="I74"/>
  <c r="I73"/>
  <c r="I72"/>
  <c r="I71"/>
  <c r="I69"/>
  <c r="I68"/>
  <c r="I67"/>
  <c r="I66"/>
  <c r="I65"/>
  <c r="I64"/>
  <c r="I62"/>
  <c r="I60"/>
  <c r="I59"/>
  <c r="I56"/>
  <c r="I55"/>
  <c r="I53"/>
  <c r="I52"/>
  <c r="I51"/>
  <c r="I50"/>
  <c r="I49"/>
  <c r="I48"/>
  <c r="I46"/>
  <c r="I45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98"/>
  <c r="H97"/>
  <c r="H96"/>
  <c r="H95"/>
  <c r="H94"/>
  <c r="H93"/>
  <c r="H92"/>
  <c r="H90"/>
  <c r="H89"/>
  <c r="H88"/>
  <c r="H87"/>
  <c r="H86"/>
  <c r="H85"/>
  <c r="H84"/>
  <c r="H82"/>
  <c r="H81"/>
  <c r="H80"/>
  <c r="H79"/>
  <c r="H78"/>
  <c r="H77"/>
  <c r="H76"/>
  <c r="H75"/>
  <c r="I300" s="1"/>
  <c r="H74"/>
  <c r="H73"/>
  <c r="H72"/>
  <c r="H71"/>
  <c r="H69"/>
  <c r="H68"/>
  <c r="H67"/>
  <c r="H66"/>
  <c r="H65"/>
  <c r="H64"/>
  <c r="H63"/>
  <c r="H62"/>
  <c r="H60"/>
  <c r="H59"/>
  <c r="H53"/>
  <c r="H52"/>
  <c r="H51"/>
  <c r="H50"/>
  <c r="H49"/>
  <c r="H48"/>
  <c r="H46"/>
  <c r="H45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H17"/>
  <c r="H16"/>
  <c r="H15"/>
  <c r="H14"/>
  <c r="H13"/>
  <c r="H12"/>
  <c r="H11"/>
  <c r="H10"/>
  <c r="H9"/>
  <c r="H8"/>
  <c r="H7"/>
  <c r="H6"/>
  <c r="H5"/>
  <c r="H4"/>
  <c r="G98"/>
  <c r="G97"/>
  <c r="G96"/>
  <c r="G95"/>
  <c r="G94"/>
  <c r="G93"/>
  <c r="G92"/>
  <c r="G90"/>
  <c r="G89"/>
  <c r="G88"/>
  <c r="G87"/>
  <c r="G86"/>
  <c r="G85"/>
  <c r="G84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0"/>
  <c r="G59"/>
  <c r="G53"/>
  <c r="G52"/>
  <c r="G51"/>
  <c r="G50"/>
  <c r="G49"/>
  <c r="G48"/>
  <c r="G46"/>
  <c r="G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8"/>
  <c r="G17"/>
  <c r="G16"/>
  <c r="G15"/>
  <c r="G14"/>
  <c r="G13"/>
  <c r="G12"/>
  <c r="G11"/>
  <c r="G10"/>
  <c r="G9"/>
  <c r="G8"/>
  <c r="G7"/>
  <c r="G6"/>
  <c r="G5"/>
  <c r="G4"/>
  <c r="F98"/>
  <c r="F97"/>
  <c r="F96"/>
  <c r="F95"/>
  <c r="F94"/>
  <c r="F93"/>
  <c r="F92"/>
  <c r="F90"/>
  <c r="F89"/>
  <c r="F88"/>
  <c r="F87"/>
  <c r="F86"/>
  <c r="F85"/>
  <c r="F84"/>
  <c r="F82"/>
  <c r="F81"/>
  <c r="F80"/>
  <c r="F79"/>
  <c r="F78"/>
  <c r="F77"/>
  <c r="F76"/>
  <c r="F75"/>
  <c r="F74"/>
  <c r="F73"/>
  <c r="F72"/>
  <c r="F71"/>
  <c r="F69"/>
  <c r="F68"/>
  <c r="F67"/>
  <c r="F66"/>
  <c r="F65"/>
  <c r="F64"/>
  <c r="F63"/>
  <c r="F62"/>
  <c r="F60"/>
  <c r="F59"/>
  <c r="F53"/>
  <c r="F52"/>
  <c r="F51"/>
  <c r="F50"/>
  <c r="F49"/>
  <c r="F48"/>
  <c r="F46"/>
  <c r="F45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6"/>
  <c r="F5"/>
  <c r="F4"/>
  <c r="E98"/>
  <c r="E97"/>
  <c r="E96"/>
  <c r="E95"/>
  <c r="E94"/>
  <c r="E93"/>
  <c r="E92"/>
  <c r="E90"/>
  <c r="E89"/>
  <c r="E88"/>
  <c r="E87"/>
  <c r="E86"/>
  <c r="E85"/>
  <c r="E84"/>
  <c r="E82"/>
  <c r="E81"/>
  <c r="E80"/>
  <c r="E79"/>
  <c r="E78"/>
  <c r="E77"/>
  <c r="E76"/>
  <c r="E75"/>
  <c r="E74"/>
  <c r="E73"/>
  <c r="E72"/>
  <c r="E71"/>
  <c r="E69"/>
  <c r="E68"/>
  <c r="E67"/>
  <c r="E66"/>
  <c r="E65"/>
  <c r="E64"/>
  <c r="E63"/>
  <c r="E62"/>
  <c r="E60"/>
  <c r="E59"/>
  <c r="E53"/>
  <c r="E52"/>
  <c r="E51"/>
  <c r="E50"/>
  <c r="E49"/>
  <c r="E48"/>
  <c r="E46"/>
  <c r="E45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9"/>
  <c r="E8"/>
  <c r="E7"/>
  <c r="E6"/>
  <c r="E5"/>
  <c r="E4"/>
  <c r="E104" i="8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S316" i="12"/>
  <c r="R316"/>
  <c r="Q316"/>
  <c r="P316"/>
  <c r="O316"/>
  <c r="N316"/>
  <c r="M316"/>
  <c r="L316"/>
  <c r="K316"/>
  <c r="J316"/>
  <c r="I316"/>
  <c r="H316"/>
  <c r="G316"/>
  <c r="F316"/>
  <c r="S308"/>
  <c r="R308"/>
  <c r="Q308"/>
  <c r="P308"/>
  <c r="O308"/>
  <c r="N308"/>
  <c r="M308"/>
  <c r="L308"/>
  <c r="K308"/>
  <c r="J308"/>
  <c r="I308"/>
  <c r="H308"/>
  <c r="G308"/>
  <c r="F308"/>
  <c r="S295"/>
  <c r="R295"/>
  <c r="Q295"/>
  <c r="P295"/>
  <c r="O295"/>
  <c r="N295"/>
  <c r="M295"/>
  <c r="L295"/>
  <c r="K295"/>
  <c r="J295"/>
  <c r="I295"/>
  <c r="H295"/>
  <c r="G295"/>
  <c r="F295"/>
  <c r="S286"/>
  <c r="R286"/>
  <c r="Q286"/>
  <c r="P286"/>
  <c r="O286"/>
  <c r="N286"/>
  <c r="M286"/>
  <c r="L286"/>
  <c r="K286"/>
  <c r="J286"/>
  <c r="I286"/>
  <c r="H286"/>
  <c r="G286"/>
  <c r="F286"/>
  <c r="S269"/>
  <c r="R269"/>
  <c r="Q269"/>
  <c r="P269"/>
  <c r="O269"/>
  <c r="N269"/>
  <c r="M269"/>
  <c r="L269"/>
  <c r="K269"/>
  <c r="J269"/>
  <c r="I269"/>
  <c r="H269"/>
  <c r="G269"/>
  <c r="F269"/>
  <c r="I244"/>
  <c r="H244"/>
  <c r="G244"/>
  <c r="F244"/>
  <c r="E188"/>
  <c r="E187"/>
  <c r="E186"/>
  <c r="E180"/>
  <c r="E179"/>
  <c r="E178"/>
  <c r="Q1" i="9"/>
  <c r="M1" i="15"/>
  <c r="F9" i="8"/>
  <c r="F39" s="1"/>
  <c r="N1" i="9"/>
  <c r="G9" i="8"/>
  <c r="G33" s="1"/>
  <c r="H9"/>
  <c r="H28" s="1"/>
  <c r="H102"/>
  <c r="H94"/>
  <c r="H86"/>
  <c r="H104"/>
  <c r="H99"/>
  <c r="H97"/>
  <c r="H92"/>
  <c r="H85"/>
  <c r="H95"/>
  <c r="H88"/>
  <c r="H83"/>
  <c r="H79"/>
  <c r="H71"/>
  <c r="H63"/>
  <c r="H89"/>
  <c r="H84"/>
  <c r="H82"/>
  <c r="H77"/>
  <c r="H70"/>
  <c r="H100"/>
  <c r="H87"/>
  <c r="H101"/>
  <c r="H75"/>
  <c r="H56"/>
  <c r="H51"/>
  <c r="H43"/>
  <c r="H35"/>
  <c r="H90"/>
  <c r="H72"/>
  <c r="H103"/>
  <c r="H81"/>
  <c r="H80"/>
  <c r="H74"/>
  <c r="H78"/>
  <c r="H52"/>
  <c r="H45"/>
  <c r="H40"/>
  <c r="H38"/>
  <c r="H33"/>
  <c r="H29"/>
  <c r="H21"/>
  <c r="H13"/>
  <c r="H73"/>
  <c r="H65"/>
  <c r="H64"/>
  <c r="H59"/>
  <c r="H58"/>
  <c r="H39"/>
  <c r="H25"/>
  <c r="H98"/>
  <c r="H93"/>
  <c r="H68"/>
  <c r="H66"/>
  <c r="H62"/>
  <c r="H61"/>
  <c r="H57"/>
  <c r="H37"/>
  <c r="H36"/>
  <c r="H34"/>
  <c r="H32"/>
  <c r="H27"/>
  <c r="H91"/>
  <c r="H60"/>
  <c r="H46"/>
  <c r="H44"/>
  <c r="H42"/>
  <c r="H41"/>
  <c r="H30"/>
  <c r="H23"/>
  <c r="H18"/>
  <c r="H16"/>
  <c r="H11"/>
  <c r="H67"/>
  <c r="H76"/>
  <c r="H50"/>
  <c r="H22"/>
  <c r="H47"/>
  <c r="H96"/>
  <c r="H55"/>
  <c r="H20"/>
  <c r="H69"/>
  <c r="H26"/>
  <c r="H24"/>
  <c r="I9"/>
  <c r="H54"/>
  <c r="H19"/>
  <c r="H48"/>
  <c r="H53"/>
  <c r="H49"/>
  <c r="H10"/>
  <c r="G101"/>
  <c r="G93"/>
  <c r="G85"/>
  <c r="G102"/>
  <c r="G95"/>
  <c r="G90"/>
  <c r="G104"/>
  <c r="G99"/>
  <c r="G97"/>
  <c r="G100"/>
  <c r="G78"/>
  <c r="G70"/>
  <c r="G62"/>
  <c r="G83"/>
  <c r="G75"/>
  <c r="G92"/>
  <c r="G89"/>
  <c r="G84"/>
  <c r="G82"/>
  <c r="G77"/>
  <c r="G87"/>
  <c r="G79"/>
  <c r="G98"/>
  <c r="G94"/>
  <c r="G86"/>
  <c r="G80"/>
  <c r="G73"/>
  <c r="G68"/>
  <c r="G66"/>
  <c r="G61"/>
  <c r="G50"/>
  <c r="G42"/>
  <c r="G34"/>
  <c r="G72"/>
  <c r="G96"/>
  <c r="G88"/>
  <c r="G28"/>
  <c r="G20"/>
  <c r="G12"/>
  <c r="G91"/>
  <c r="G60"/>
  <c r="G44"/>
  <c r="G43"/>
  <c r="G67"/>
  <c r="G65"/>
  <c r="G64"/>
  <c r="G63"/>
  <c r="G59"/>
  <c r="G58"/>
  <c r="G39"/>
  <c r="G35"/>
  <c r="G25"/>
  <c r="G57"/>
  <c r="G56"/>
  <c r="G47"/>
  <c r="G46"/>
  <c r="G45"/>
  <c r="G41"/>
  <c r="G40"/>
  <c r="G30"/>
  <c r="G23"/>
  <c r="G26"/>
  <c r="G24"/>
  <c r="G51"/>
  <c r="G103"/>
  <c r="G54"/>
  <c r="G36"/>
  <c r="G55"/>
  <c r="G81"/>
  <c r="G76"/>
  <c r="G71"/>
  <c r="G37"/>
  <c r="G29"/>
  <c r="G22"/>
  <c r="G53"/>
  <c r="G49"/>
  <c r="G31"/>
  <c r="G21"/>
  <c r="G69"/>
  <c r="G38"/>
  <c r="G14"/>
  <c r="G11"/>
  <c r="G74"/>
  <c r="H12"/>
  <c r="G13"/>
  <c r="H14"/>
  <c r="G15"/>
  <c r="H15"/>
  <c r="G16"/>
  <c r="G48"/>
  <c r="F100"/>
  <c r="F92"/>
  <c r="F84"/>
  <c r="F102"/>
  <c r="F95"/>
  <c r="F88"/>
  <c r="F98"/>
  <c r="F93"/>
  <c r="F86"/>
  <c r="F77"/>
  <c r="F69"/>
  <c r="F61"/>
  <c r="F99"/>
  <c r="F94"/>
  <c r="F80"/>
  <c r="F73"/>
  <c r="F83"/>
  <c r="F75"/>
  <c r="F89"/>
  <c r="F82"/>
  <c r="F104"/>
  <c r="F91"/>
  <c r="F59"/>
  <c r="F49"/>
  <c r="F41"/>
  <c r="F33"/>
  <c r="F96"/>
  <c r="F78"/>
  <c r="F90"/>
  <c r="F85"/>
  <c r="F79"/>
  <c r="F87"/>
  <c r="F72"/>
  <c r="F97"/>
  <c r="F71"/>
  <c r="F55"/>
  <c r="F50"/>
  <c r="F43"/>
  <c r="F36"/>
  <c r="F27"/>
  <c r="F19"/>
  <c r="F11"/>
  <c r="F56"/>
  <c r="F60"/>
  <c r="F46"/>
  <c r="F45"/>
  <c r="F44"/>
  <c r="F40"/>
  <c r="F30"/>
  <c r="F70"/>
  <c r="F68"/>
  <c r="F67"/>
  <c r="F66"/>
  <c r="F65"/>
  <c r="F64"/>
  <c r="F63"/>
  <c r="F62"/>
  <c r="F58"/>
  <c r="F76"/>
  <c r="F74"/>
  <c r="F54"/>
  <c r="F53"/>
  <c r="F52"/>
  <c r="F51"/>
  <c r="F48"/>
  <c r="F28"/>
  <c r="F21"/>
  <c r="F14"/>
  <c r="F47"/>
  <c r="F42"/>
  <c r="F22"/>
  <c r="F29"/>
  <c r="F81"/>
  <c r="F31"/>
  <c r="F35"/>
  <c r="F10"/>
  <c r="F15"/>
  <c r="F16"/>
  <c r="F34"/>
  <c r="F101"/>
  <c r="F25"/>
  <c r="F57"/>
  <c r="F103"/>
  <c r="F37"/>
  <c r="F24"/>
  <c r="F26"/>
  <c r="I103"/>
  <c r="I95"/>
  <c r="I87"/>
  <c r="I104"/>
  <c r="I99"/>
  <c r="I97"/>
  <c r="I101"/>
  <c r="I102"/>
  <c r="I90"/>
  <c r="I80"/>
  <c r="I72"/>
  <c r="I64"/>
  <c r="I56"/>
  <c r="I100"/>
  <c r="I92"/>
  <c r="I79"/>
  <c r="I96"/>
  <c r="I81"/>
  <c r="I76"/>
  <c r="I74"/>
  <c r="I89"/>
  <c r="I84"/>
  <c r="I83"/>
  <c r="I82"/>
  <c r="I77"/>
  <c r="I70"/>
  <c r="I63"/>
  <c r="I52"/>
  <c r="I44"/>
  <c r="I36"/>
  <c r="I85"/>
  <c r="I94"/>
  <c r="I69"/>
  <c r="I68"/>
  <c r="I47"/>
  <c r="I30"/>
  <c r="I22"/>
  <c r="I14"/>
  <c r="J9"/>
  <c r="I98"/>
  <c r="I93"/>
  <c r="I86"/>
  <c r="I66"/>
  <c r="I62"/>
  <c r="I61"/>
  <c r="I57"/>
  <c r="I32"/>
  <c r="I20"/>
  <c r="I38"/>
  <c r="I33"/>
  <c r="I75"/>
  <c r="I73"/>
  <c r="I67"/>
  <c r="I65"/>
  <c r="I59"/>
  <c r="I58"/>
  <c r="I45"/>
  <c r="I43"/>
  <c r="I40"/>
  <c r="I39"/>
  <c r="I25"/>
  <c r="I37"/>
  <c r="I35"/>
  <c r="I34"/>
  <c r="I27"/>
  <c r="I19"/>
  <c r="I28"/>
  <c r="I71"/>
  <c r="I55"/>
  <c r="I46"/>
  <c r="I29"/>
  <c r="I18"/>
  <c r="I51"/>
  <c r="I17"/>
  <c r="I60"/>
  <c r="I54"/>
  <c r="I91"/>
  <c r="I50"/>
  <c r="I48"/>
  <c r="I41"/>
  <c r="I53"/>
  <c r="I42"/>
  <c r="I31"/>
  <c r="I78"/>
  <c r="I21"/>
  <c r="I11"/>
  <c r="I49"/>
  <c r="I16"/>
  <c r="I13"/>
  <c r="I23"/>
  <c r="I26"/>
  <c r="I12"/>
  <c r="I10"/>
  <c r="I88"/>
  <c r="I24"/>
  <c r="I15"/>
  <c r="J104"/>
  <c r="J96"/>
  <c r="J88"/>
  <c r="J101"/>
  <c r="J94"/>
  <c r="J87"/>
  <c r="J99"/>
  <c r="J97"/>
  <c r="J92"/>
  <c r="J85"/>
  <c r="J81"/>
  <c r="J73"/>
  <c r="J65"/>
  <c r="J57"/>
  <c r="J79"/>
  <c r="J72"/>
  <c r="J76"/>
  <c r="J74"/>
  <c r="J93"/>
  <c r="J90"/>
  <c r="J100"/>
  <c r="J60"/>
  <c r="J58"/>
  <c r="J53"/>
  <c r="J45"/>
  <c r="J37"/>
  <c r="J83"/>
  <c r="J103"/>
  <c r="J80"/>
  <c r="J69"/>
  <c r="J68"/>
  <c r="J67"/>
  <c r="J91"/>
  <c r="J95"/>
  <c r="J54"/>
  <c r="J49"/>
  <c r="J42"/>
  <c r="J35"/>
  <c r="J31"/>
  <c r="J23"/>
  <c r="J15"/>
  <c r="J102"/>
  <c r="J63"/>
  <c r="J38"/>
  <c r="J70"/>
  <c r="J29"/>
  <c r="J78"/>
  <c r="J98"/>
  <c r="J86"/>
  <c r="J66"/>
  <c r="J64"/>
  <c r="J62"/>
  <c r="J61"/>
  <c r="J34"/>
  <c r="J32"/>
  <c r="J27"/>
  <c r="J20"/>
  <c r="J13"/>
  <c r="J36"/>
  <c r="J33"/>
  <c r="J40"/>
  <c r="J51"/>
  <c r="J30"/>
  <c r="J19"/>
  <c r="J44"/>
  <c r="J39"/>
  <c r="J12"/>
  <c r="J77"/>
  <c r="J89"/>
  <c r="J48"/>
  <c r="J47"/>
  <c r="J28"/>
  <c r="J25"/>
  <c r="J18"/>
  <c r="J17"/>
  <c r="J52"/>
  <c r="J84"/>
  <c r="J82"/>
  <c r="J50"/>
  <c r="J75"/>
  <c r="J71"/>
  <c r="J59"/>
  <c r="J55"/>
  <c r="J46"/>
  <c r="J43"/>
  <c r="J22"/>
  <c r="K9"/>
  <c r="J41"/>
  <c r="J10"/>
  <c r="J16"/>
  <c r="J24"/>
  <c r="J26"/>
  <c r="J14"/>
  <c r="J11"/>
  <c r="J56"/>
  <c r="J21"/>
  <c r="K97"/>
  <c r="K89"/>
  <c r="K101"/>
  <c r="K91"/>
  <c r="K84"/>
  <c r="K103"/>
  <c r="K98"/>
  <c r="K96"/>
  <c r="K104"/>
  <c r="K74"/>
  <c r="K66"/>
  <c r="K58"/>
  <c r="K87"/>
  <c r="K76"/>
  <c r="K93"/>
  <c r="K90"/>
  <c r="K81"/>
  <c r="K95"/>
  <c r="K85"/>
  <c r="K78"/>
  <c r="K99"/>
  <c r="K92"/>
  <c r="K79"/>
  <c r="K72"/>
  <c r="K67"/>
  <c r="K65"/>
  <c r="K54"/>
  <c r="K46"/>
  <c r="K38"/>
  <c r="K80"/>
  <c r="K69"/>
  <c r="K68"/>
  <c r="K94"/>
  <c r="K64"/>
  <c r="K62"/>
  <c r="K61"/>
  <c r="K60"/>
  <c r="K59"/>
  <c r="K100"/>
  <c r="K75"/>
  <c r="K70"/>
  <c r="K83"/>
  <c r="K32"/>
  <c r="K24"/>
  <c r="K16"/>
  <c r="K26"/>
  <c r="K88"/>
  <c r="K55"/>
  <c r="K48"/>
  <c r="K102"/>
  <c r="K63"/>
  <c r="K57"/>
  <c r="K37"/>
  <c r="K36"/>
  <c r="K35"/>
  <c r="K33"/>
  <c r="K10"/>
  <c r="K29"/>
  <c r="K22"/>
  <c r="L9"/>
  <c r="K40"/>
  <c r="K13"/>
  <c r="K53"/>
  <c r="K47"/>
  <c r="K28"/>
  <c r="K25"/>
  <c r="K18"/>
  <c r="K17"/>
  <c r="K15"/>
  <c r="K56"/>
  <c r="K44"/>
  <c r="K41"/>
  <c r="K39"/>
  <c r="K20"/>
  <c r="K12"/>
  <c r="K14"/>
  <c r="K11"/>
  <c r="K49"/>
  <c r="K31"/>
  <c r="K71"/>
  <c r="K43"/>
  <c r="K51"/>
  <c r="K30"/>
  <c r="K19"/>
  <c r="K77"/>
  <c r="K52"/>
  <c r="K73"/>
  <c r="K45"/>
  <c r="K86"/>
  <c r="K21"/>
  <c r="K23"/>
  <c r="K82"/>
  <c r="K50"/>
  <c r="K27"/>
  <c r="K42"/>
  <c r="K34"/>
  <c r="L98"/>
  <c r="L90"/>
  <c r="L82"/>
  <c r="L103"/>
  <c r="L96"/>
  <c r="L89"/>
  <c r="L100"/>
  <c r="L101"/>
  <c r="L94"/>
  <c r="L87"/>
  <c r="L75"/>
  <c r="L67"/>
  <c r="L59"/>
  <c r="L93"/>
  <c r="L81"/>
  <c r="L74"/>
  <c r="L95"/>
  <c r="L85"/>
  <c r="L78"/>
  <c r="L102"/>
  <c r="L91"/>
  <c r="L76"/>
  <c r="L69"/>
  <c r="L62"/>
  <c r="L55"/>
  <c r="L47"/>
  <c r="L39"/>
  <c r="L92"/>
  <c r="L79"/>
  <c r="L64"/>
  <c r="L61"/>
  <c r="L60"/>
  <c r="L70"/>
  <c r="L66"/>
  <c r="L65"/>
  <c r="L63"/>
  <c r="L57"/>
  <c r="L104"/>
  <c r="L86"/>
  <c r="L84"/>
  <c r="L73"/>
  <c r="L71"/>
  <c r="L80"/>
  <c r="L72"/>
  <c r="L68"/>
  <c r="L51"/>
  <c r="L44"/>
  <c r="L37"/>
  <c r="L25"/>
  <c r="L17"/>
  <c r="L88"/>
  <c r="L48"/>
  <c r="L31"/>
  <c r="L53"/>
  <c r="L50"/>
  <c r="L49"/>
  <c r="L97"/>
  <c r="L38"/>
  <c r="L29"/>
  <c r="L22"/>
  <c r="L15"/>
  <c r="M9"/>
  <c r="L26"/>
  <c r="L36"/>
  <c r="L28"/>
  <c r="L14"/>
  <c r="L11"/>
  <c r="L10"/>
  <c r="L56"/>
  <c r="L16"/>
  <c r="L58"/>
  <c r="L41"/>
  <c r="L20"/>
  <c r="L12"/>
  <c r="L13"/>
  <c r="L21"/>
  <c r="L42"/>
  <c r="L83"/>
  <c r="L77"/>
  <c r="L52"/>
  <c r="L40"/>
  <c r="L46"/>
  <c r="L35"/>
  <c r="L30"/>
  <c r="L19"/>
  <c r="L18"/>
  <c r="L23"/>
  <c r="L32"/>
  <c r="L45"/>
  <c r="L99"/>
  <c r="L54"/>
  <c r="L33"/>
  <c r="L27"/>
  <c r="L24"/>
  <c r="L34"/>
  <c r="L43"/>
  <c r="M99"/>
  <c r="M91"/>
  <c r="M83"/>
  <c r="M103"/>
  <c r="M96"/>
  <c r="M100"/>
  <c r="M98"/>
  <c r="M93"/>
  <c r="M86"/>
  <c r="M84"/>
  <c r="M82"/>
  <c r="M76"/>
  <c r="M68"/>
  <c r="M60"/>
  <c r="M95"/>
  <c r="M90"/>
  <c r="M85"/>
  <c r="M78"/>
  <c r="M71"/>
  <c r="M102"/>
  <c r="M101"/>
  <c r="M88"/>
  <c r="M80"/>
  <c r="M87"/>
  <c r="M81"/>
  <c r="M74"/>
  <c r="M48"/>
  <c r="M40"/>
  <c r="M32"/>
  <c r="M94"/>
  <c r="M70"/>
  <c r="M67"/>
  <c r="M66"/>
  <c r="M65"/>
  <c r="M63"/>
  <c r="M62"/>
  <c r="M59"/>
  <c r="M57"/>
  <c r="M104"/>
  <c r="M75"/>
  <c r="M73"/>
  <c r="M58"/>
  <c r="M89"/>
  <c r="M92"/>
  <c r="M79"/>
  <c r="M69"/>
  <c r="M64"/>
  <c r="M61"/>
  <c r="M41"/>
  <c r="M39"/>
  <c r="M34"/>
  <c r="M26"/>
  <c r="M18"/>
  <c r="M10"/>
  <c r="M31"/>
  <c r="M55"/>
  <c r="M53"/>
  <c r="M50"/>
  <c r="M49"/>
  <c r="M28"/>
  <c r="M77"/>
  <c r="M72"/>
  <c r="M54"/>
  <c r="M52"/>
  <c r="M51"/>
  <c r="M19"/>
  <c r="M17"/>
  <c r="M12"/>
  <c r="M24"/>
  <c r="M15"/>
  <c r="M42"/>
  <c r="M45"/>
  <c r="M44"/>
  <c r="M37"/>
  <c r="M14"/>
  <c r="M13"/>
  <c r="M11"/>
  <c r="N9"/>
  <c r="M56"/>
  <c r="M38"/>
  <c r="M23"/>
  <c r="M21"/>
  <c r="M16"/>
  <c r="M27"/>
  <c r="M36"/>
  <c r="M22"/>
  <c r="M47"/>
  <c r="M29"/>
  <c r="M25"/>
  <c r="M20"/>
  <c r="M33"/>
  <c r="M43"/>
  <c r="M46"/>
  <c r="M35"/>
  <c r="M30"/>
  <c r="M97"/>
  <c r="N100"/>
  <c r="N92"/>
  <c r="N84"/>
  <c r="N98"/>
  <c r="N102"/>
  <c r="N95"/>
  <c r="N103"/>
  <c r="N96"/>
  <c r="N91"/>
  <c r="N89"/>
  <c r="N77"/>
  <c r="N69"/>
  <c r="N61"/>
  <c r="N101"/>
  <c r="N88"/>
  <c r="N80"/>
  <c r="N73"/>
  <c r="N86"/>
  <c r="N75"/>
  <c r="N93"/>
  <c r="N90"/>
  <c r="N85"/>
  <c r="N78"/>
  <c r="N71"/>
  <c r="N64"/>
  <c r="N57"/>
  <c r="N49"/>
  <c r="N41"/>
  <c r="N33"/>
  <c r="N104"/>
  <c r="N58"/>
  <c r="N87"/>
  <c r="N81"/>
  <c r="N74"/>
  <c r="N99"/>
  <c r="N94"/>
  <c r="N70"/>
  <c r="N67"/>
  <c r="N66"/>
  <c r="N65"/>
  <c r="N63"/>
  <c r="N62"/>
  <c r="N60"/>
  <c r="N59"/>
  <c r="N53"/>
  <c r="N48"/>
  <c r="N46"/>
  <c r="N27"/>
  <c r="N19"/>
  <c r="N11"/>
  <c r="N68"/>
  <c r="N55"/>
  <c r="N72"/>
  <c r="N54"/>
  <c r="N52"/>
  <c r="N51"/>
  <c r="N83"/>
  <c r="N82"/>
  <c r="N79"/>
  <c r="N56"/>
  <c r="N47"/>
  <c r="N43"/>
  <c r="N42"/>
  <c r="N31"/>
  <c r="N26"/>
  <c r="N24"/>
  <c r="N50"/>
  <c r="N28"/>
  <c r="N21"/>
  <c r="N45"/>
  <c r="N40"/>
  <c r="N39"/>
  <c r="N38"/>
  <c r="N23"/>
  <c r="N16"/>
  <c r="N15"/>
  <c r="N32"/>
  <c r="O9"/>
  <c r="P9" s="1"/>
  <c r="N97"/>
  <c r="N34"/>
  <c r="N29"/>
  <c r="N25"/>
  <c r="N20"/>
  <c r="N18"/>
  <c r="N76"/>
  <c r="N44"/>
  <c r="N37"/>
  <c r="N17"/>
  <c r="N14"/>
  <c r="N13"/>
  <c r="N12"/>
  <c r="N10"/>
  <c r="N35"/>
  <c r="N36"/>
  <c r="N22"/>
  <c r="N30"/>
  <c r="O101"/>
  <c r="O93"/>
  <c r="O85"/>
  <c r="O100"/>
  <c r="O102"/>
  <c r="O95"/>
  <c r="O88"/>
  <c r="O98"/>
  <c r="O86"/>
  <c r="O78"/>
  <c r="O70"/>
  <c r="O62"/>
  <c r="O80"/>
  <c r="O73"/>
  <c r="O96"/>
  <c r="O91"/>
  <c r="O75"/>
  <c r="O103"/>
  <c r="O97"/>
  <c r="O94"/>
  <c r="O83"/>
  <c r="O77"/>
  <c r="O59"/>
  <c r="O50"/>
  <c r="O42"/>
  <c r="O34"/>
  <c r="O87"/>
  <c r="O81"/>
  <c r="O74"/>
  <c r="O99"/>
  <c r="O89"/>
  <c r="O84"/>
  <c r="O71"/>
  <c r="O82"/>
  <c r="O76"/>
  <c r="O104"/>
  <c r="O90"/>
  <c r="O58"/>
  <c r="O57"/>
  <c r="O56"/>
  <c r="O55"/>
  <c r="O43"/>
  <c r="O36"/>
  <c r="O28"/>
  <c r="O20"/>
  <c r="O12"/>
  <c r="O72"/>
  <c r="O54"/>
  <c r="O53"/>
  <c r="O52"/>
  <c r="O51"/>
  <c r="O79"/>
  <c r="O47"/>
  <c r="O30"/>
  <c r="O46"/>
  <c r="O45"/>
  <c r="O44"/>
  <c r="O41"/>
  <c r="O92"/>
  <c r="O68"/>
  <c r="O21"/>
  <c r="O14"/>
  <c r="O49"/>
  <c r="O48"/>
  <c r="O39"/>
  <c r="O16"/>
  <c r="O15"/>
  <c r="O10"/>
  <c r="O24"/>
  <c r="O32"/>
  <c r="O27"/>
  <c r="O37"/>
  <c r="O17"/>
  <c r="O13"/>
  <c r="O40"/>
  <c r="O38"/>
  <c r="O23"/>
  <c r="O11"/>
  <c r="O33"/>
  <c r="O31"/>
  <c r="O35"/>
  <c r="O66"/>
  <c r="O64"/>
  <c r="O60"/>
  <c r="O26"/>
  <c r="O19"/>
  <c r="O69"/>
  <c r="O67"/>
  <c r="O65"/>
  <c r="O63"/>
  <c r="O61"/>
  <c r="O18"/>
  <c r="O29"/>
  <c r="O22"/>
  <c r="O25"/>
  <c r="G3" i="12"/>
  <c r="F3"/>
  <c r="E3" s="1"/>
  <c r="H3"/>
  <c r="F234"/>
  <c r="R317"/>
  <c r="L153"/>
  <c r="L150"/>
  <c r="L152"/>
  <c r="L151"/>
  <c r="M247"/>
  <c r="M293"/>
  <c r="H254"/>
  <c r="G254"/>
  <c r="F314"/>
  <c r="J270"/>
  <c r="K125"/>
  <c r="L237"/>
  <c r="K127"/>
  <c r="K126"/>
  <c r="K218"/>
  <c r="K219"/>
  <c r="L193"/>
  <c r="I110"/>
  <c r="R320"/>
  <c r="G256"/>
  <c r="H256"/>
  <c r="M294"/>
  <c r="O289"/>
  <c r="J231"/>
  <c r="Q309"/>
  <c r="P139"/>
  <c r="Q118"/>
  <c r="Q174"/>
  <c r="F251"/>
  <c r="I247"/>
  <c r="K165"/>
  <c r="L264"/>
  <c r="O167"/>
  <c r="P245"/>
  <c r="O144"/>
  <c r="G287"/>
  <c r="F225"/>
  <c r="H287"/>
  <c r="J306"/>
  <c r="N235"/>
  <c r="S306"/>
  <c r="J225"/>
  <c r="K287"/>
  <c r="O231"/>
  <c r="F233"/>
  <c r="K121"/>
  <c r="L233"/>
  <c r="F318"/>
  <c r="J235"/>
  <c r="K292"/>
  <c r="M250"/>
  <c r="L154"/>
  <c r="O236"/>
  <c r="N122"/>
  <c r="Q117"/>
  <c r="Q318"/>
  <c r="F254"/>
  <c r="G292"/>
  <c r="H292"/>
  <c r="I251"/>
  <c r="J311"/>
  <c r="L270"/>
  <c r="M224"/>
  <c r="M145"/>
  <c r="M146"/>
  <c r="M223"/>
  <c r="N241"/>
  <c r="M149"/>
  <c r="M147"/>
  <c r="M148"/>
  <c r="M226"/>
  <c r="M171"/>
  <c r="P251"/>
  <c r="S315"/>
  <c r="F287"/>
  <c r="I294"/>
  <c r="J155"/>
  <c r="K252"/>
  <c r="L310"/>
  <c r="N288"/>
  <c r="P121"/>
  <c r="Q233"/>
  <c r="F288"/>
  <c r="I296"/>
  <c r="K254"/>
  <c r="J156"/>
  <c r="L312"/>
  <c r="N289"/>
  <c r="Q236"/>
  <c r="P122"/>
  <c r="F243"/>
  <c r="F304"/>
  <c r="H271"/>
  <c r="G271"/>
  <c r="I236"/>
  <c r="I314"/>
  <c r="J296"/>
  <c r="I131"/>
  <c r="K271"/>
  <c r="L254"/>
  <c r="K156"/>
  <c r="M235"/>
  <c r="M117"/>
  <c r="M318"/>
  <c r="N313"/>
  <c r="O315"/>
  <c r="S267"/>
  <c r="F255"/>
  <c r="F321"/>
  <c r="H293"/>
  <c r="G293"/>
  <c r="I254"/>
  <c r="I127"/>
  <c r="I218"/>
  <c r="I126"/>
  <c r="I219"/>
  <c r="I125"/>
  <c r="J237"/>
  <c r="J314"/>
  <c r="K293"/>
  <c r="L271"/>
  <c r="M253"/>
  <c r="N243"/>
  <c r="O239"/>
  <c r="P253"/>
  <c r="Q320"/>
  <c r="R141"/>
  <c r="S319"/>
  <c r="F267"/>
  <c r="G240"/>
  <c r="H240"/>
  <c r="F222"/>
  <c r="F221"/>
  <c r="G310"/>
  <c r="H310"/>
  <c r="I271"/>
  <c r="J255"/>
  <c r="K237"/>
  <c r="J127"/>
  <c r="J126"/>
  <c r="J125"/>
  <c r="J218"/>
  <c r="J219"/>
  <c r="K313"/>
  <c r="L293"/>
  <c r="M270"/>
  <c r="N265"/>
  <c r="N159"/>
  <c r="O260"/>
  <c r="P291"/>
  <c r="Q166"/>
  <c r="R268"/>
  <c r="F231"/>
  <c r="F277"/>
  <c r="G251"/>
  <c r="H251"/>
  <c r="H321"/>
  <c r="G321"/>
  <c r="I288"/>
  <c r="J266"/>
  <c r="I112"/>
  <c r="K247"/>
  <c r="J151"/>
  <c r="J152"/>
  <c r="J150"/>
  <c r="J153"/>
  <c r="L230"/>
  <c r="K170"/>
  <c r="K217"/>
  <c r="K124"/>
  <c r="K109"/>
  <c r="K123"/>
  <c r="M285"/>
  <c r="P321"/>
  <c r="R307"/>
  <c r="F246"/>
  <c r="F271"/>
  <c r="F306"/>
  <c r="G242"/>
  <c r="H242"/>
  <c r="G312"/>
  <c r="H312"/>
  <c r="I237"/>
  <c r="H218"/>
  <c r="H219"/>
  <c r="I318"/>
  <c r="I117"/>
  <c r="J257"/>
  <c r="J298"/>
  <c r="K238"/>
  <c r="J220"/>
  <c r="K317"/>
  <c r="L255"/>
  <c r="K131"/>
  <c r="L296"/>
  <c r="L126"/>
  <c r="L218"/>
  <c r="M237"/>
  <c r="L127"/>
  <c r="L125"/>
  <c r="L219"/>
  <c r="M321"/>
  <c r="N266"/>
  <c r="N315"/>
  <c r="O261"/>
  <c r="P229"/>
  <c r="O182"/>
  <c r="O181"/>
  <c r="O215"/>
  <c r="O216"/>
  <c r="O183"/>
  <c r="O172"/>
  <c r="O115"/>
  <c r="O184"/>
  <c r="O54"/>
  <c r="P301"/>
  <c r="P225"/>
  <c r="Q287"/>
  <c r="Q130"/>
  <c r="Q129"/>
  <c r="R284"/>
  <c r="F235"/>
  <c r="F257"/>
  <c r="F290"/>
  <c r="F323"/>
  <c r="G257"/>
  <c r="H257"/>
  <c r="G296"/>
  <c r="H296"/>
  <c r="I255"/>
  <c r="I298"/>
  <c r="J239"/>
  <c r="J317"/>
  <c r="K255"/>
  <c r="K298"/>
  <c r="L238"/>
  <c r="K220"/>
  <c r="L315"/>
  <c r="M255"/>
  <c r="M298"/>
  <c r="M144"/>
  <c r="N245"/>
  <c r="M167"/>
  <c r="N293"/>
  <c r="O243"/>
  <c r="O290"/>
  <c r="P261"/>
  <c r="Q245"/>
  <c r="P144"/>
  <c r="P167"/>
  <c r="Q122"/>
  <c r="R236"/>
  <c r="S235"/>
  <c r="F240"/>
  <c r="E222"/>
  <c r="E221"/>
  <c r="F263"/>
  <c r="F173"/>
  <c r="F298"/>
  <c r="H235"/>
  <c r="G235"/>
  <c r="G265"/>
  <c r="H265"/>
  <c r="G303"/>
  <c r="H303"/>
  <c r="I229"/>
  <c r="H215"/>
  <c r="H216"/>
  <c r="H172"/>
  <c r="H54"/>
  <c r="I264"/>
  <c r="I306"/>
  <c r="J249"/>
  <c r="J288"/>
  <c r="J124"/>
  <c r="K230"/>
  <c r="J109"/>
  <c r="J170"/>
  <c r="J217"/>
  <c r="J123"/>
  <c r="K265"/>
  <c r="K306"/>
  <c r="K151"/>
  <c r="K150"/>
  <c r="K152"/>
  <c r="K153"/>
  <c r="L247"/>
  <c r="L285"/>
  <c r="L172"/>
  <c r="L192"/>
  <c r="L115"/>
  <c r="L215"/>
  <c r="L182"/>
  <c r="L183"/>
  <c r="L181"/>
  <c r="M229"/>
  <c r="L194"/>
  <c r="L216"/>
  <c r="L184"/>
  <c r="L54"/>
  <c r="M264"/>
  <c r="L165"/>
  <c r="M309"/>
  <c r="M174"/>
  <c r="L139"/>
  <c r="M118"/>
  <c r="N257"/>
  <c r="N304"/>
  <c r="O252"/>
  <c r="N155"/>
  <c r="O306"/>
  <c r="P162"/>
  <c r="P164"/>
  <c r="Q173"/>
  <c r="Q116"/>
  <c r="P163"/>
  <c r="Q263"/>
  <c r="R257"/>
  <c r="S257"/>
  <c r="S157"/>
  <c r="F242"/>
  <c r="F266"/>
  <c r="F303"/>
  <c r="H238"/>
  <c r="G238"/>
  <c r="F220"/>
  <c r="H270"/>
  <c r="G270"/>
  <c r="G306"/>
  <c r="H306"/>
  <c r="I232"/>
  <c r="I270"/>
  <c r="I312"/>
  <c r="J252"/>
  <c r="I155"/>
  <c r="J293"/>
  <c r="K235"/>
  <c r="K270"/>
  <c r="K310"/>
  <c r="L251"/>
  <c r="L292"/>
  <c r="M233"/>
  <c r="L121"/>
  <c r="M267"/>
  <c r="M313"/>
  <c r="N261"/>
  <c r="M114"/>
  <c r="N311"/>
  <c r="O257"/>
  <c r="O313"/>
  <c r="P289"/>
  <c r="Q271"/>
  <c r="R265"/>
  <c r="S265"/>
  <c r="S165"/>
  <c r="F232"/>
  <c r="E224"/>
  <c r="E226"/>
  <c r="E171"/>
  <c r="E223"/>
  <c r="F241"/>
  <c r="F252"/>
  <c r="F264"/>
  <c r="F300"/>
  <c r="F317"/>
  <c r="G237"/>
  <c r="F219"/>
  <c r="H237"/>
  <c r="F218"/>
  <c r="H252"/>
  <c r="G252"/>
  <c r="H267"/>
  <c r="G267"/>
  <c r="G289"/>
  <c r="H289"/>
  <c r="H305"/>
  <c r="G305"/>
  <c r="G199"/>
  <c r="G172"/>
  <c r="G215"/>
  <c r="G54"/>
  <c r="G216"/>
  <c r="I231"/>
  <c r="I248"/>
  <c r="I265"/>
  <c r="I291"/>
  <c r="I311"/>
  <c r="J234"/>
  <c r="I154"/>
  <c r="J250"/>
  <c r="I113"/>
  <c r="J267"/>
  <c r="J290"/>
  <c r="J118"/>
  <c r="I139"/>
  <c r="J174"/>
  <c r="J309"/>
  <c r="J121"/>
  <c r="K233"/>
  <c r="K249"/>
  <c r="K267"/>
  <c r="K290"/>
  <c r="K118"/>
  <c r="J139"/>
  <c r="K309"/>
  <c r="L232"/>
  <c r="K128"/>
  <c r="K120"/>
  <c r="L248"/>
  <c r="K119"/>
  <c r="L265"/>
  <c r="L289"/>
  <c r="L118"/>
  <c r="L309"/>
  <c r="L174"/>
  <c r="M232"/>
  <c r="L119"/>
  <c r="L120"/>
  <c r="L128"/>
  <c r="M248"/>
  <c r="M265"/>
  <c r="M289"/>
  <c r="M312"/>
  <c r="L140"/>
  <c r="N239"/>
  <c r="N258"/>
  <c r="M130"/>
  <c r="N284"/>
  <c r="M129"/>
  <c r="N306"/>
  <c r="O235"/>
  <c r="O255"/>
  <c r="O277"/>
  <c r="O307"/>
  <c r="P246"/>
  <c r="P323"/>
  <c r="P165"/>
  <c r="Q264"/>
  <c r="Q310"/>
  <c r="R258"/>
  <c r="R310"/>
  <c r="S258"/>
  <c r="S307"/>
  <c r="E218"/>
  <c r="F192"/>
  <c r="F237"/>
  <c r="E219"/>
  <c r="F193" s="1"/>
  <c r="F247"/>
  <c r="F258"/>
  <c r="F292"/>
  <c r="F307"/>
  <c r="F216"/>
  <c r="G190"/>
  <c r="F215"/>
  <c r="H229"/>
  <c r="F195"/>
  <c r="F196"/>
  <c r="F172"/>
  <c r="G229"/>
  <c r="F54"/>
  <c r="G245"/>
  <c r="H245"/>
  <c r="G260"/>
  <c r="H260"/>
  <c r="G277"/>
  <c r="H277"/>
  <c r="G297"/>
  <c r="H297"/>
  <c r="H313"/>
  <c r="G313"/>
  <c r="G219"/>
  <c r="G193"/>
  <c r="G218"/>
  <c r="G192"/>
  <c r="I239"/>
  <c r="I257"/>
  <c r="I277"/>
  <c r="I320"/>
  <c r="I143"/>
  <c r="J242"/>
  <c r="I142"/>
  <c r="I160"/>
  <c r="I161"/>
  <c r="I158"/>
  <c r="J259"/>
  <c r="I58"/>
  <c r="I57"/>
  <c r="I133"/>
  <c r="J299"/>
  <c r="J117"/>
  <c r="J318"/>
  <c r="J145"/>
  <c r="J146"/>
  <c r="J226"/>
  <c r="J224"/>
  <c r="J171"/>
  <c r="J223"/>
  <c r="J147"/>
  <c r="J149"/>
  <c r="K241"/>
  <c r="J148"/>
  <c r="J160"/>
  <c r="J161"/>
  <c r="K259"/>
  <c r="J158"/>
  <c r="J58"/>
  <c r="J57"/>
  <c r="J133"/>
  <c r="K299"/>
  <c r="K318"/>
  <c r="K117"/>
  <c r="L240"/>
  <c r="K221"/>
  <c r="K222"/>
  <c r="L196" s="1"/>
  <c r="L257"/>
  <c r="L277"/>
  <c r="L298"/>
  <c r="L117"/>
  <c r="L318"/>
  <c r="L222"/>
  <c r="L221"/>
  <c r="L195" s="1"/>
  <c r="M240"/>
  <c r="M257"/>
  <c r="L134"/>
  <c r="M300"/>
  <c r="M322"/>
  <c r="N249"/>
  <c r="N270"/>
  <c r="M132"/>
  <c r="N297"/>
  <c r="N318"/>
  <c r="N117"/>
  <c r="O244"/>
  <c r="O265"/>
  <c r="O296"/>
  <c r="N131"/>
  <c r="O170"/>
  <c r="O124"/>
  <c r="O123"/>
  <c r="O109"/>
  <c r="P230"/>
  <c r="O217"/>
  <c r="P262"/>
  <c r="O135"/>
  <c r="O136"/>
  <c r="P302"/>
  <c r="Q246"/>
  <c r="Q288"/>
  <c r="Q220"/>
  <c r="R238"/>
  <c r="R285"/>
  <c r="R122"/>
  <c r="S236"/>
  <c r="S285"/>
  <c r="S122"/>
  <c r="E215"/>
  <c r="F189" s="1"/>
  <c r="F229"/>
  <c r="E172"/>
  <c r="E54"/>
  <c r="E220"/>
  <c r="F194"/>
  <c r="F238"/>
  <c r="F248"/>
  <c r="F260"/>
  <c r="F294"/>
  <c r="F310"/>
  <c r="G231"/>
  <c r="H231"/>
  <c r="H247"/>
  <c r="G247"/>
  <c r="G261"/>
  <c r="H261"/>
  <c r="G300"/>
  <c r="H300"/>
  <c r="H318"/>
  <c r="G318"/>
  <c r="G221"/>
  <c r="G195" s="1"/>
  <c r="G222"/>
  <c r="G196" s="1"/>
  <c r="I242"/>
  <c r="I259"/>
  <c r="I284"/>
  <c r="I303"/>
  <c r="I322"/>
  <c r="J244"/>
  <c r="I159"/>
  <c r="J260"/>
  <c r="J302"/>
  <c r="I135"/>
  <c r="I136"/>
  <c r="J322"/>
  <c r="K244"/>
  <c r="K260"/>
  <c r="J159"/>
  <c r="K301"/>
  <c r="K320"/>
  <c r="L243"/>
  <c r="L259"/>
  <c r="K160"/>
  <c r="K161"/>
  <c r="K158"/>
  <c r="L301"/>
  <c r="L320"/>
  <c r="L142"/>
  <c r="M242"/>
  <c r="L143"/>
  <c r="M258"/>
  <c r="M277"/>
  <c r="M303"/>
  <c r="N231"/>
  <c r="N251"/>
  <c r="N298"/>
  <c r="N322"/>
  <c r="N151"/>
  <c r="N152"/>
  <c r="O247"/>
  <c r="N153"/>
  <c r="O268"/>
  <c r="N166"/>
  <c r="O298"/>
  <c r="P235"/>
  <c r="P267"/>
  <c r="P118"/>
  <c r="O139"/>
  <c r="P174"/>
  <c r="P309"/>
  <c r="Q252"/>
  <c r="P155"/>
  <c r="Q294"/>
  <c r="R244"/>
  <c r="R293"/>
  <c r="S243"/>
  <c r="S292"/>
  <c r="E170"/>
  <c r="F230"/>
  <c r="F239"/>
  <c r="F249"/>
  <c r="F262"/>
  <c r="F297"/>
  <c r="F313"/>
  <c r="H232"/>
  <c r="G232"/>
  <c r="H248"/>
  <c r="G248"/>
  <c r="H173"/>
  <c r="H263"/>
  <c r="G263"/>
  <c r="G285"/>
  <c r="H285"/>
  <c r="H302"/>
  <c r="G302"/>
  <c r="H319"/>
  <c r="G319"/>
  <c r="G223"/>
  <c r="G226"/>
  <c r="G171"/>
  <c r="G224"/>
  <c r="I245"/>
  <c r="I262"/>
  <c r="H225"/>
  <c r="I287"/>
  <c r="I305"/>
  <c r="I323"/>
  <c r="I167"/>
  <c r="I144"/>
  <c r="J245"/>
  <c r="I164"/>
  <c r="I163"/>
  <c r="J263"/>
  <c r="J173"/>
  <c r="J116"/>
  <c r="I162"/>
  <c r="J287"/>
  <c r="I225"/>
  <c r="J199" s="1"/>
  <c r="I137"/>
  <c r="I138"/>
  <c r="J305"/>
  <c r="J323"/>
  <c r="J144"/>
  <c r="K245"/>
  <c r="J167"/>
  <c r="K262"/>
  <c r="J130"/>
  <c r="J129"/>
  <c r="K284"/>
  <c r="K304"/>
  <c r="K322"/>
  <c r="L245"/>
  <c r="K167"/>
  <c r="K144"/>
  <c r="L262"/>
  <c r="K129"/>
  <c r="L284"/>
  <c r="K130"/>
  <c r="L303"/>
  <c r="L321"/>
  <c r="M243"/>
  <c r="M261"/>
  <c r="L130"/>
  <c r="M284"/>
  <c r="L129"/>
  <c r="M306"/>
  <c r="M121"/>
  <c r="N233"/>
  <c r="N253"/>
  <c r="N302"/>
  <c r="M136"/>
  <c r="M135"/>
  <c r="O229"/>
  <c r="N182"/>
  <c r="N183"/>
  <c r="N181"/>
  <c r="N184"/>
  <c r="N215"/>
  <c r="N54"/>
  <c r="N115"/>
  <c r="N172"/>
  <c r="O249"/>
  <c r="O270"/>
  <c r="N134"/>
  <c r="O300"/>
  <c r="O127"/>
  <c r="O126"/>
  <c r="O218"/>
  <c r="O219"/>
  <c r="O125"/>
  <c r="P237"/>
  <c r="P270"/>
  <c r="P311"/>
  <c r="O114"/>
  <c r="P156"/>
  <c r="Q254"/>
  <c r="P132"/>
  <c r="Q297"/>
  <c r="Q152"/>
  <c r="Q150"/>
  <c r="Q151"/>
  <c r="R247"/>
  <c r="Q153"/>
  <c r="R296"/>
  <c r="Q131"/>
  <c r="S246"/>
  <c r="R131"/>
  <c r="S296"/>
  <c r="S167"/>
  <c r="S144"/>
  <c r="F250"/>
  <c r="F259"/>
  <c r="F268"/>
  <c r="F285"/>
  <c r="F296"/>
  <c r="F305"/>
  <c r="F315"/>
  <c r="H230"/>
  <c r="F170"/>
  <c r="G230"/>
  <c r="F217"/>
  <c r="G239"/>
  <c r="H239"/>
  <c r="G249"/>
  <c r="H249"/>
  <c r="G259"/>
  <c r="H259"/>
  <c r="H268"/>
  <c r="G268"/>
  <c r="G284"/>
  <c r="H284"/>
  <c r="H294"/>
  <c r="G294"/>
  <c r="G304"/>
  <c r="H304"/>
  <c r="H315"/>
  <c r="G315"/>
  <c r="I234"/>
  <c r="I246"/>
  <c r="I256"/>
  <c r="I267"/>
  <c r="I285"/>
  <c r="I297"/>
  <c r="I118"/>
  <c r="I309"/>
  <c r="I174"/>
  <c r="I321"/>
  <c r="J236"/>
  <c r="I122"/>
  <c r="J247"/>
  <c r="I151"/>
  <c r="I152"/>
  <c r="I150"/>
  <c r="I153"/>
  <c r="J258"/>
  <c r="J268"/>
  <c r="I166"/>
  <c r="I130"/>
  <c r="I129"/>
  <c r="J284"/>
  <c r="J297"/>
  <c r="I132"/>
  <c r="J307"/>
  <c r="J320"/>
  <c r="J122"/>
  <c r="K236"/>
  <c r="K246"/>
  <c r="K257"/>
  <c r="J166"/>
  <c r="K268"/>
  <c r="J131"/>
  <c r="K296"/>
  <c r="K307"/>
  <c r="K319"/>
  <c r="J141"/>
  <c r="L235"/>
  <c r="L246"/>
  <c r="K157"/>
  <c r="L256"/>
  <c r="L267"/>
  <c r="L294"/>
  <c r="L306"/>
  <c r="L319"/>
  <c r="K141"/>
  <c r="M234"/>
  <c r="L167"/>
  <c r="M245"/>
  <c r="L144"/>
  <c r="M256"/>
  <c r="L157"/>
  <c r="M266"/>
  <c r="M296"/>
  <c r="L131"/>
  <c r="M311"/>
  <c r="L114"/>
  <c r="M216"/>
  <c r="M190"/>
  <c r="N229"/>
  <c r="M54"/>
  <c r="M193"/>
  <c r="M183"/>
  <c r="M182"/>
  <c r="M192"/>
  <c r="M184"/>
  <c r="M115"/>
  <c r="M181"/>
  <c r="M215"/>
  <c r="M189" s="1"/>
  <c r="M172"/>
  <c r="M143"/>
  <c r="M142"/>
  <c r="N242"/>
  <c r="N255"/>
  <c r="N267"/>
  <c r="M225"/>
  <c r="N287"/>
  <c r="M134"/>
  <c r="N300"/>
  <c r="N314"/>
  <c r="N121"/>
  <c r="O233"/>
  <c r="N167"/>
  <c r="N144"/>
  <c r="O245"/>
  <c r="N158"/>
  <c r="O259"/>
  <c r="N161"/>
  <c r="N160"/>
  <c r="O174"/>
  <c r="O309"/>
  <c r="N139"/>
  <c r="O118"/>
  <c r="P231"/>
  <c r="O153"/>
  <c r="O152"/>
  <c r="O150"/>
  <c r="O151"/>
  <c r="P247"/>
  <c r="P263"/>
  <c r="O164"/>
  <c r="P173"/>
  <c r="O162"/>
  <c r="O163"/>
  <c r="P116"/>
  <c r="O130"/>
  <c r="O129"/>
  <c r="P284"/>
  <c r="P303"/>
  <c r="P183"/>
  <c r="P193"/>
  <c r="P216"/>
  <c r="P190" s="1"/>
  <c r="Q229"/>
  <c r="P172"/>
  <c r="P184"/>
  <c r="P54"/>
  <c r="P215"/>
  <c r="P189" s="1"/>
  <c r="P181"/>
  <c r="P115"/>
  <c r="P182"/>
  <c r="P192"/>
  <c r="Q247"/>
  <c r="P150"/>
  <c r="P151"/>
  <c r="P152"/>
  <c r="P153"/>
  <c r="Q265"/>
  <c r="Q290"/>
  <c r="Q311"/>
  <c r="P114"/>
  <c r="R239"/>
  <c r="R260"/>
  <c r="Q159"/>
  <c r="Q225"/>
  <c r="R287"/>
  <c r="R311"/>
  <c r="Q114"/>
  <c r="S238"/>
  <c r="R220"/>
  <c r="R158"/>
  <c r="R160"/>
  <c r="S259"/>
  <c r="R161"/>
  <c r="R225"/>
  <c r="S287"/>
  <c r="S310"/>
  <c r="S127"/>
  <c r="S126"/>
  <c r="S219"/>
  <c r="S125"/>
  <c r="S218"/>
  <c r="S161"/>
  <c r="S158"/>
  <c r="S160"/>
  <c r="S139"/>
  <c r="F289"/>
  <c r="F299"/>
  <c r="F309"/>
  <c r="F174"/>
  <c r="F319"/>
  <c r="H234"/>
  <c r="G234"/>
  <c r="H243"/>
  <c r="G243"/>
  <c r="H253"/>
  <c r="G253"/>
  <c r="G262"/>
  <c r="H262"/>
  <c r="G288"/>
  <c r="H288"/>
  <c r="G298"/>
  <c r="H298"/>
  <c r="H309"/>
  <c r="H174"/>
  <c r="G309"/>
  <c r="G320"/>
  <c r="H320"/>
  <c r="H220"/>
  <c r="I238"/>
  <c r="I249"/>
  <c r="I261"/>
  <c r="I289"/>
  <c r="I302"/>
  <c r="I313"/>
  <c r="I115"/>
  <c r="I192"/>
  <c r="I183"/>
  <c r="I172"/>
  <c r="I184"/>
  <c r="I193"/>
  <c r="I181"/>
  <c r="J229"/>
  <c r="I54"/>
  <c r="I182"/>
  <c r="I215"/>
  <c r="I189"/>
  <c r="I216"/>
  <c r="I190"/>
  <c r="I224"/>
  <c r="J198"/>
  <c r="J241"/>
  <c r="I147"/>
  <c r="I171"/>
  <c r="I223"/>
  <c r="J197" s="1"/>
  <c r="I149"/>
  <c r="I145"/>
  <c r="I226"/>
  <c r="I146"/>
  <c r="I148"/>
  <c r="J251"/>
  <c r="J261"/>
  <c r="J289"/>
  <c r="I134"/>
  <c r="J300"/>
  <c r="J313"/>
  <c r="J181"/>
  <c r="J184"/>
  <c r="J183"/>
  <c r="J215"/>
  <c r="J193"/>
  <c r="K229"/>
  <c r="J216"/>
  <c r="K190" s="1"/>
  <c r="J115"/>
  <c r="J172"/>
  <c r="J200"/>
  <c r="J192"/>
  <c r="J182"/>
  <c r="J54"/>
  <c r="J189"/>
  <c r="K239"/>
  <c r="K251"/>
  <c r="K261"/>
  <c r="K289"/>
  <c r="J134"/>
  <c r="K300"/>
  <c r="K311"/>
  <c r="K54"/>
  <c r="K183"/>
  <c r="K193"/>
  <c r="K115"/>
  <c r="L229"/>
  <c r="K194"/>
  <c r="K216"/>
  <c r="K191"/>
  <c r="K192"/>
  <c r="K184"/>
  <c r="K182"/>
  <c r="K215"/>
  <c r="K189" s="1"/>
  <c r="K181"/>
  <c r="K172"/>
  <c r="L239"/>
  <c r="L249"/>
  <c r="L261"/>
  <c r="L287"/>
  <c r="K225"/>
  <c r="K199" s="1"/>
  <c r="K134"/>
  <c r="L300"/>
  <c r="K114"/>
  <c r="L322"/>
  <c r="M239"/>
  <c r="M249"/>
  <c r="L161"/>
  <c r="L158"/>
  <c r="M259"/>
  <c r="L160"/>
  <c r="L225"/>
  <c r="M287"/>
  <c r="M302"/>
  <c r="L135"/>
  <c r="L136"/>
  <c r="M315"/>
  <c r="N234"/>
  <c r="M151"/>
  <c r="N247"/>
  <c r="M153"/>
  <c r="M152"/>
  <c r="M150"/>
  <c r="M160"/>
  <c r="M161"/>
  <c r="M158"/>
  <c r="N259"/>
  <c r="N291"/>
  <c r="M138"/>
  <c r="N305"/>
  <c r="M137"/>
  <c r="N320"/>
  <c r="N126"/>
  <c r="N127"/>
  <c r="N125"/>
  <c r="N218"/>
  <c r="O237"/>
  <c r="N219"/>
  <c r="O193" s="1"/>
  <c r="O251"/>
  <c r="N164"/>
  <c r="O116"/>
  <c r="N163"/>
  <c r="N162"/>
  <c r="O173"/>
  <c r="O263"/>
  <c r="N57"/>
  <c r="N58"/>
  <c r="N133"/>
  <c r="O317"/>
  <c r="P238"/>
  <c r="O220"/>
  <c r="P194" s="1"/>
  <c r="P254"/>
  <c r="O156"/>
  <c r="P271"/>
  <c r="P292"/>
  <c r="O140"/>
  <c r="P312"/>
  <c r="P127"/>
  <c r="P218"/>
  <c r="P125"/>
  <c r="P219"/>
  <c r="P126"/>
  <c r="Q237"/>
  <c r="Q255"/>
  <c r="Q299"/>
  <c r="P133"/>
  <c r="Q321"/>
  <c r="Q120"/>
  <c r="R248"/>
  <c r="Q119"/>
  <c r="Q128"/>
  <c r="R271"/>
  <c r="Q132"/>
  <c r="R297"/>
  <c r="R321"/>
  <c r="R128"/>
  <c r="S248"/>
  <c r="R119"/>
  <c r="R120"/>
  <c r="S268"/>
  <c r="R166"/>
  <c r="S297"/>
  <c r="R132"/>
  <c r="S321"/>
  <c r="S166"/>
  <c r="S132"/>
  <c r="S141"/>
  <c r="O117"/>
  <c r="O318"/>
  <c r="P239"/>
  <c r="P255"/>
  <c r="P293"/>
  <c r="P314"/>
  <c r="P220"/>
  <c r="Q238"/>
  <c r="P157"/>
  <c r="Q256"/>
  <c r="P134"/>
  <c r="Q300"/>
  <c r="Q323"/>
  <c r="R249"/>
  <c r="R299"/>
  <c r="Q133"/>
  <c r="R322"/>
  <c r="S249"/>
  <c r="S271"/>
  <c r="S298"/>
  <c r="S322"/>
  <c r="S119"/>
  <c r="S120"/>
  <c r="S128"/>
  <c r="F256"/>
  <c r="F265"/>
  <c r="F291"/>
  <c r="F301"/>
  <c r="F312"/>
  <c r="F322"/>
  <c r="G236"/>
  <c r="H236"/>
  <c r="H246"/>
  <c r="G246"/>
  <c r="G255"/>
  <c r="H255"/>
  <c r="H264"/>
  <c r="G264"/>
  <c r="G291"/>
  <c r="H291"/>
  <c r="G301"/>
  <c r="H301"/>
  <c r="G311"/>
  <c r="H311"/>
  <c r="G322"/>
  <c r="H322"/>
  <c r="I230"/>
  <c r="H170"/>
  <c r="H217"/>
  <c r="I240"/>
  <c r="H221"/>
  <c r="H195" s="1"/>
  <c r="H222"/>
  <c r="H196" s="1"/>
  <c r="I253"/>
  <c r="I116"/>
  <c r="I173"/>
  <c r="I263"/>
  <c r="I293"/>
  <c r="I304"/>
  <c r="I315"/>
  <c r="I121"/>
  <c r="J233"/>
  <c r="J243"/>
  <c r="J253"/>
  <c r="J265"/>
  <c r="J277"/>
  <c r="J291"/>
  <c r="J304"/>
  <c r="J315"/>
  <c r="K231"/>
  <c r="K243"/>
  <c r="K253"/>
  <c r="K173"/>
  <c r="K116"/>
  <c r="J164"/>
  <c r="J163"/>
  <c r="J162"/>
  <c r="K263"/>
  <c r="K277"/>
  <c r="K291"/>
  <c r="K302"/>
  <c r="J136"/>
  <c r="J135"/>
  <c r="K315"/>
  <c r="L231"/>
  <c r="K148"/>
  <c r="K145"/>
  <c r="K224"/>
  <c r="K198" s="1"/>
  <c r="L241"/>
  <c r="K223"/>
  <c r="K197"/>
  <c r="K171"/>
  <c r="K149"/>
  <c r="K146"/>
  <c r="K147"/>
  <c r="K226"/>
  <c r="K200"/>
  <c r="L253"/>
  <c r="K163"/>
  <c r="K164"/>
  <c r="L263"/>
  <c r="K162"/>
  <c r="L116"/>
  <c r="L173"/>
  <c r="L291"/>
  <c r="K135"/>
  <c r="L302"/>
  <c r="L313"/>
  <c r="M231"/>
  <c r="L146"/>
  <c r="L223"/>
  <c r="L197" s="1"/>
  <c r="L224"/>
  <c r="M198" s="1"/>
  <c r="L198"/>
  <c r="L171"/>
  <c r="M241"/>
  <c r="L145"/>
  <c r="L149"/>
  <c r="L147"/>
  <c r="L226"/>
  <c r="L148"/>
  <c r="M251"/>
  <c r="L162"/>
  <c r="L163"/>
  <c r="M116"/>
  <c r="M173"/>
  <c r="L164"/>
  <c r="M263"/>
  <c r="M291"/>
  <c r="M304"/>
  <c r="M320"/>
  <c r="M127"/>
  <c r="M219"/>
  <c r="N193"/>
  <c r="M125"/>
  <c r="M126"/>
  <c r="M218"/>
  <c r="N205"/>
  <c r="N192"/>
  <c r="N237"/>
  <c r="M154"/>
  <c r="N250"/>
  <c r="M162"/>
  <c r="N173"/>
  <c r="M163"/>
  <c r="M164"/>
  <c r="N263"/>
  <c r="N116"/>
  <c r="N277"/>
  <c r="M131"/>
  <c r="N296"/>
  <c r="N309"/>
  <c r="N174"/>
  <c r="M139"/>
  <c r="N118"/>
  <c r="N323"/>
  <c r="N147"/>
  <c r="N223"/>
  <c r="N197" s="1"/>
  <c r="N149"/>
  <c r="N171"/>
  <c r="O241"/>
  <c r="N226"/>
  <c r="N200"/>
  <c r="N148"/>
  <c r="N146"/>
  <c r="N145"/>
  <c r="N224"/>
  <c r="N198" s="1"/>
  <c r="O253"/>
  <c r="O267"/>
  <c r="O287"/>
  <c r="N225"/>
  <c r="N199"/>
  <c r="O304"/>
  <c r="O322"/>
  <c r="P243"/>
  <c r="O160"/>
  <c r="O161"/>
  <c r="P259"/>
  <c r="O158"/>
  <c r="P277"/>
  <c r="P299"/>
  <c r="O133"/>
  <c r="O141"/>
  <c r="P319"/>
  <c r="P142"/>
  <c r="Q242"/>
  <c r="P143"/>
  <c r="Q261"/>
  <c r="Q284"/>
  <c r="P130"/>
  <c r="P129"/>
  <c r="P138"/>
  <c r="Q305"/>
  <c r="P137"/>
  <c r="R233"/>
  <c r="Q121"/>
  <c r="R255"/>
  <c r="Q57"/>
  <c r="Q58"/>
  <c r="R304"/>
  <c r="R121"/>
  <c r="S233"/>
  <c r="R156"/>
  <c r="S254"/>
  <c r="S277"/>
  <c r="S304"/>
  <c r="F236"/>
  <c r="F245"/>
  <c r="F253"/>
  <c r="F261"/>
  <c r="F270"/>
  <c r="F284"/>
  <c r="F293"/>
  <c r="F302"/>
  <c r="F311"/>
  <c r="F320"/>
  <c r="H233"/>
  <c r="G233"/>
  <c r="F224"/>
  <c r="F198"/>
  <c r="F226"/>
  <c r="F200"/>
  <c r="F171"/>
  <c r="G241"/>
  <c r="F223"/>
  <c r="F197"/>
  <c r="H241"/>
  <c r="H250"/>
  <c r="G250"/>
  <c r="H258"/>
  <c r="G258"/>
  <c r="G266"/>
  <c r="H266"/>
  <c r="G290"/>
  <c r="H290"/>
  <c r="G299"/>
  <c r="H299"/>
  <c r="G307"/>
  <c r="H307"/>
  <c r="G317"/>
  <c r="H317"/>
  <c r="G170"/>
  <c r="G217"/>
  <c r="G191"/>
  <c r="G220"/>
  <c r="H194"/>
  <c r="G225"/>
  <c r="I235"/>
  <c r="I243"/>
  <c r="I252"/>
  <c r="I260"/>
  <c r="I268"/>
  <c r="I292"/>
  <c r="I301"/>
  <c r="I310"/>
  <c r="I319"/>
  <c r="J232"/>
  <c r="J240"/>
  <c r="I222"/>
  <c r="I196"/>
  <c r="I221"/>
  <c r="I195"/>
  <c r="I120"/>
  <c r="I119"/>
  <c r="J248"/>
  <c r="I128"/>
  <c r="I157"/>
  <c r="J256"/>
  <c r="I165"/>
  <c r="J264"/>
  <c r="I111"/>
  <c r="J285"/>
  <c r="J294"/>
  <c r="J303"/>
  <c r="J312"/>
  <c r="I140"/>
  <c r="J321"/>
  <c r="K234"/>
  <c r="J143"/>
  <c r="K242"/>
  <c r="J142"/>
  <c r="J154"/>
  <c r="K250"/>
  <c r="K258"/>
  <c r="K266"/>
  <c r="K288"/>
  <c r="K297"/>
  <c r="J132"/>
  <c r="K305"/>
  <c r="J138"/>
  <c r="J137"/>
  <c r="K314"/>
  <c r="K323"/>
  <c r="L236"/>
  <c r="K122"/>
  <c r="L244"/>
  <c r="L252"/>
  <c r="K155"/>
  <c r="L260"/>
  <c r="K159"/>
  <c r="K166"/>
  <c r="L268"/>
  <c r="K58"/>
  <c r="K57"/>
  <c r="L290"/>
  <c r="K133"/>
  <c r="L299"/>
  <c r="L307"/>
  <c r="L317"/>
  <c r="L170"/>
  <c r="M230"/>
  <c r="L123"/>
  <c r="L124"/>
  <c r="L109"/>
  <c r="L217"/>
  <c r="L191"/>
  <c r="M238"/>
  <c r="L220"/>
  <c r="M194" s="1"/>
  <c r="M246"/>
  <c r="L156"/>
  <c r="M254"/>
  <c r="M262"/>
  <c r="M271"/>
  <c r="M292"/>
  <c r="M301"/>
  <c r="M310"/>
  <c r="M319"/>
  <c r="L141"/>
  <c r="N232"/>
  <c r="N240"/>
  <c r="M222"/>
  <c r="M196" s="1"/>
  <c r="M221"/>
  <c r="M195" s="1"/>
  <c r="M119"/>
  <c r="M120"/>
  <c r="M128"/>
  <c r="N248"/>
  <c r="N256"/>
  <c r="M157"/>
  <c r="N264"/>
  <c r="M165"/>
  <c r="N285"/>
  <c r="N294"/>
  <c r="N303"/>
  <c r="M140"/>
  <c r="N312"/>
  <c r="N321"/>
  <c r="O234"/>
  <c r="N142"/>
  <c r="N143"/>
  <c r="O242"/>
  <c r="O250"/>
  <c r="N154"/>
  <c r="O258"/>
  <c r="O266"/>
  <c r="O288"/>
  <c r="O297"/>
  <c r="N132"/>
  <c r="N138"/>
  <c r="N137"/>
  <c r="O305"/>
  <c r="O314"/>
  <c r="O323"/>
  <c r="P236"/>
  <c r="O122"/>
  <c r="P244"/>
  <c r="P252"/>
  <c r="O155"/>
  <c r="P260"/>
  <c r="O159"/>
  <c r="O166"/>
  <c r="P268"/>
  <c r="O58"/>
  <c r="O57"/>
  <c r="P290"/>
  <c r="O134"/>
  <c r="P300"/>
  <c r="P310"/>
  <c r="P320"/>
  <c r="Q234"/>
  <c r="Q244"/>
  <c r="Q253"/>
  <c r="Q262"/>
  <c r="Q285"/>
  <c r="Q296"/>
  <c r="P131"/>
  <c r="Q307"/>
  <c r="Q319"/>
  <c r="P141"/>
  <c r="R234"/>
  <c r="Q157"/>
  <c r="R256"/>
  <c r="R266"/>
  <c r="R294"/>
  <c r="Q137"/>
  <c r="R305"/>
  <c r="Q138"/>
  <c r="R319"/>
  <c r="Q141"/>
  <c r="S234"/>
  <c r="S244"/>
  <c r="S256"/>
  <c r="R157"/>
  <c r="S266"/>
  <c r="R58"/>
  <c r="R57"/>
  <c r="S294"/>
  <c r="R138"/>
  <c r="S305"/>
  <c r="R137"/>
  <c r="S317"/>
  <c r="S156"/>
  <c r="S58"/>
  <c r="S57"/>
  <c r="S138"/>
  <c r="S137"/>
  <c r="M288"/>
  <c r="M297"/>
  <c r="L132"/>
  <c r="L138"/>
  <c r="M305"/>
  <c r="L137"/>
  <c r="M314"/>
  <c r="M323"/>
  <c r="M122"/>
  <c r="N236"/>
  <c r="N244"/>
  <c r="M155"/>
  <c r="N252"/>
  <c r="N260"/>
  <c r="M159"/>
  <c r="N268"/>
  <c r="M166"/>
  <c r="M57"/>
  <c r="M58"/>
  <c r="N290"/>
  <c r="N299"/>
  <c r="M133"/>
  <c r="N307"/>
  <c r="N317"/>
  <c r="O230"/>
  <c r="N109"/>
  <c r="N123"/>
  <c r="N170"/>
  <c r="N124"/>
  <c r="N217"/>
  <c r="N220"/>
  <c r="O194"/>
  <c r="O238"/>
  <c r="O246"/>
  <c r="O254"/>
  <c r="N156"/>
  <c r="O262"/>
  <c r="O271"/>
  <c r="O292"/>
  <c r="O301"/>
  <c r="O310"/>
  <c r="N141"/>
  <c r="O319"/>
  <c r="P232"/>
  <c r="P240"/>
  <c r="O221"/>
  <c r="O222"/>
  <c r="O119"/>
  <c r="O128"/>
  <c r="P248"/>
  <c r="O120"/>
  <c r="O157"/>
  <c r="P256"/>
  <c r="O165"/>
  <c r="P264"/>
  <c r="P285"/>
  <c r="P294"/>
  <c r="P305"/>
  <c r="O137"/>
  <c r="O138"/>
  <c r="P315"/>
  <c r="P217"/>
  <c r="P191" s="1"/>
  <c r="P170"/>
  <c r="Q230"/>
  <c r="P124"/>
  <c r="P109"/>
  <c r="P123"/>
  <c r="Q239"/>
  <c r="P120"/>
  <c r="Q248"/>
  <c r="P128"/>
  <c r="P119"/>
  <c r="Q257"/>
  <c r="Q266"/>
  <c r="P58"/>
  <c r="P57"/>
  <c r="Q291"/>
  <c r="Q301"/>
  <c r="Q312"/>
  <c r="P140"/>
  <c r="Q123"/>
  <c r="Q170"/>
  <c r="Q217"/>
  <c r="Q124"/>
  <c r="R230"/>
  <c r="Q109"/>
  <c r="Q222"/>
  <c r="Q154"/>
  <c r="R250"/>
  <c r="R262"/>
  <c r="R288"/>
  <c r="R301"/>
  <c r="Q140"/>
  <c r="R312"/>
  <c r="R323"/>
  <c r="R222"/>
  <c r="R221"/>
  <c r="S240"/>
  <c r="S250"/>
  <c r="R154"/>
  <c r="R159"/>
  <c r="S260"/>
  <c r="S288"/>
  <c r="S299"/>
  <c r="R133"/>
  <c r="S312"/>
  <c r="R140"/>
  <c r="S323"/>
  <c r="S220"/>
  <c r="S154"/>
  <c r="S159"/>
  <c r="S133"/>
  <c r="O284"/>
  <c r="N130"/>
  <c r="N129"/>
  <c r="O293"/>
  <c r="N136"/>
  <c r="N135"/>
  <c r="O302"/>
  <c r="N114"/>
  <c r="O311"/>
  <c r="O320"/>
  <c r="O121"/>
  <c r="P233"/>
  <c r="P241"/>
  <c r="O146"/>
  <c r="O226"/>
  <c r="O200" s="1"/>
  <c r="O224"/>
  <c r="O198" s="1"/>
  <c r="O171"/>
  <c r="O223"/>
  <c r="O197"/>
  <c r="O148"/>
  <c r="O147"/>
  <c r="O145"/>
  <c r="O149"/>
  <c r="P249"/>
  <c r="P257"/>
  <c r="P265"/>
  <c r="P287"/>
  <c r="O225"/>
  <c r="O199"/>
  <c r="O132"/>
  <c r="P297"/>
  <c r="P306"/>
  <c r="P317"/>
  <c r="Q231"/>
  <c r="P222"/>
  <c r="P221"/>
  <c r="P195"/>
  <c r="Q249"/>
  <c r="Q258"/>
  <c r="P166"/>
  <c r="Q268"/>
  <c r="Q292"/>
  <c r="Q302"/>
  <c r="P135"/>
  <c r="P136"/>
  <c r="Q314"/>
  <c r="R231"/>
  <c r="Q146"/>
  <c r="R241"/>
  <c r="Q149"/>
  <c r="Q171"/>
  <c r="Q226"/>
  <c r="Q147"/>
  <c r="Q223"/>
  <c r="Q145"/>
  <c r="Q224"/>
  <c r="Q148"/>
  <c r="R252"/>
  <c r="Q155"/>
  <c r="Q162"/>
  <c r="R173"/>
  <c r="Q164"/>
  <c r="R263"/>
  <c r="Q163"/>
  <c r="R116"/>
  <c r="R290"/>
  <c r="Q135"/>
  <c r="Q136"/>
  <c r="R302"/>
  <c r="R313"/>
  <c r="R217"/>
  <c r="R170"/>
  <c r="R124"/>
  <c r="R109"/>
  <c r="S230"/>
  <c r="R123"/>
  <c r="R224"/>
  <c r="R146"/>
  <c r="R145"/>
  <c r="R149"/>
  <c r="R223"/>
  <c r="R148"/>
  <c r="R226"/>
  <c r="R147"/>
  <c r="S241"/>
  <c r="R171"/>
  <c r="S251"/>
  <c r="S262"/>
  <c r="S289"/>
  <c r="S301"/>
  <c r="S313"/>
  <c r="S181"/>
  <c r="S183"/>
  <c r="S182"/>
  <c r="S184"/>
  <c r="S172"/>
  <c r="S115"/>
  <c r="S216"/>
  <c r="S215"/>
  <c r="S194"/>
  <c r="S54"/>
  <c r="S221"/>
  <c r="S222"/>
  <c r="S196" s="1"/>
  <c r="S134"/>
  <c r="S140"/>
  <c r="H314"/>
  <c r="G314"/>
  <c r="H323"/>
  <c r="G323"/>
  <c r="I233"/>
  <c r="H224"/>
  <c r="H198"/>
  <c r="H171"/>
  <c r="I241"/>
  <c r="H223"/>
  <c r="H197"/>
  <c r="H226"/>
  <c r="H200"/>
  <c r="I250"/>
  <c r="I258"/>
  <c r="I266"/>
  <c r="I290"/>
  <c r="I299"/>
  <c r="I317"/>
  <c r="J230"/>
  <c r="I109"/>
  <c r="I170"/>
  <c r="I123"/>
  <c r="I124"/>
  <c r="I217"/>
  <c r="I191" s="1"/>
  <c r="J238"/>
  <c r="I220"/>
  <c r="I194"/>
  <c r="J246"/>
  <c r="J254"/>
  <c r="I156"/>
  <c r="J262"/>
  <c r="J271"/>
  <c r="J292"/>
  <c r="J301"/>
  <c r="J310"/>
  <c r="J319"/>
  <c r="I141"/>
  <c r="K232"/>
  <c r="K240"/>
  <c r="J222"/>
  <c r="J196"/>
  <c r="J221"/>
  <c r="J195"/>
  <c r="K248"/>
  <c r="J119"/>
  <c r="J120"/>
  <c r="J128"/>
  <c r="J157"/>
  <c r="K256"/>
  <c r="K264"/>
  <c r="J165"/>
  <c r="K285"/>
  <c r="K294"/>
  <c r="K303"/>
  <c r="J140"/>
  <c r="K312"/>
  <c r="K321"/>
  <c r="L234"/>
  <c r="K143"/>
  <c r="L242"/>
  <c r="K142"/>
  <c r="K154"/>
  <c r="L250"/>
  <c r="L258"/>
  <c r="L266"/>
  <c r="L288"/>
  <c r="L297"/>
  <c r="K132"/>
  <c r="L305"/>
  <c r="K138"/>
  <c r="K137"/>
  <c r="L314"/>
  <c r="L323"/>
  <c r="M236"/>
  <c r="L122"/>
  <c r="M244"/>
  <c r="L155"/>
  <c r="M252"/>
  <c r="L159"/>
  <c r="M260"/>
  <c r="M268"/>
  <c r="L166"/>
  <c r="L57"/>
  <c r="L58"/>
  <c r="M290"/>
  <c r="M299"/>
  <c r="L133"/>
  <c r="M307"/>
  <c r="M317"/>
  <c r="M124"/>
  <c r="M123"/>
  <c r="M109"/>
  <c r="M217"/>
  <c r="M191" s="1"/>
  <c r="N230"/>
  <c r="M170"/>
  <c r="N238"/>
  <c r="M220"/>
  <c r="N194"/>
  <c r="N246"/>
  <c r="N254"/>
  <c r="M156"/>
  <c r="N262"/>
  <c r="N271"/>
  <c r="N292"/>
  <c r="N301"/>
  <c r="N310"/>
  <c r="M141"/>
  <c r="N319"/>
  <c r="O232"/>
  <c r="N221"/>
  <c r="N195" s="1"/>
  <c r="N222"/>
  <c r="O196" s="1"/>
  <c r="O240"/>
  <c r="O248"/>
  <c r="N119"/>
  <c r="N128"/>
  <c r="N120"/>
  <c r="N157"/>
  <c r="O256"/>
  <c r="N165"/>
  <c r="O264"/>
  <c r="O285"/>
  <c r="O294"/>
  <c r="O303"/>
  <c r="N140"/>
  <c r="O312"/>
  <c r="O321"/>
  <c r="P234"/>
  <c r="P242"/>
  <c r="O142"/>
  <c r="O143"/>
  <c r="O154"/>
  <c r="P250"/>
  <c r="P258"/>
  <c r="P266"/>
  <c r="P288"/>
  <c r="P298"/>
  <c r="P307"/>
  <c r="P117"/>
  <c r="P318"/>
  <c r="Q232"/>
  <c r="P149"/>
  <c r="P145"/>
  <c r="P224"/>
  <c r="P148"/>
  <c r="P171"/>
  <c r="P223"/>
  <c r="P197" s="1"/>
  <c r="Q241"/>
  <c r="P226"/>
  <c r="P200"/>
  <c r="P146"/>
  <c r="P147"/>
  <c r="Q250"/>
  <c r="P154"/>
  <c r="P159"/>
  <c r="Q260"/>
  <c r="Q270"/>
  <c r="Q293"/>
  <c r="Q303"/>
  <c r="Q317"/>
  <c r="R232"/>
  <c r="Q142"/>
  <c r="R242"/>
  <c r="Q143"/>
  <c r="R254"/>
  <c r="Q156"/>
  <c r="R264"/>
  <c r="Q165"/>
  <c r="R292"/>
  <c r="R303"/>
  <c r="R314"/>
  <c r="S232"/>
  <c r="R142"/>
  <c r="S242"/>
  <c r="R143"/>
  <c r="S252"/>
  <c r="R155"/>
  <c r="R165"/>
  <c r="S264"/>
  <c r="S290"/>
  <c r="S303"/>
  <c r="S314"/>
  <c r="S124"/>
  <c r="S123"/>
  <c r="S217"/>
  <c r="S170"/>
  <c r="S109"/>
  <c r="S142"/>
  <c r="S143"/>
  <c r="S155"/>
  <c r="O131"/>
  <c r="P296"/>
  <c r="P304"/>
  <c r="P313"/>
  <c r="P322"/>
  <c r="Q235"/>
  <c r="Q243"/>
  <c r="Q251"/>
  <c r="P160"/>
  <c r="P161"/>
  <c r="Q259"/>
  <c r="P158"/>
  <c r="Q267"/>
  <c r="Q277"/>
  <c r="Q289"/>
  <c r="Q298"/>
  <c r="Q306"/>
  <c r="Q315"/>
  <c r="Q196"/>
  <c r="Q194"/>
  <c r="Q54"/>
  <c r="Q182"/>
  <c r="Q181"/>
  <c r="Q200"/>
  <c r="Q215"/>
  <c r="Q191"/>
  <c r="Q193"/>
  <c r="Q183"/>
  <c r="Q192"/>
  <c r="Q199"/>
  <c r="Q184"/>
  <c r="Q189"/>
  <c r="R229"/>
  <c r="Q197"/>
  <c r="Q216"/>
  <c r="Q190"/>
  <c r="Q198"/>
  <c r="Q127"/>
  <c r="Q126"/>
  <c r="Q219"/>
  <c r="Q125"/>
  <c r="R237"/>
  <c r="Q218"/>
  <c r="R245"/>
  <c r="R253"/>
  <c r="R261"/>
  <c r="R270"/>
  <c r="R291"/>
  <c r="R300"/>
  <c r="Q134"/>
  <c r="Q139"/>
  <c r="R309"/>
  <c r="R118"/>
  <c r="R174"/>
  <c r="R318"/>
  <c r="R117"/>
  <c r="S231"/>
  <c r="S239"/>
  <c r="R152"/>
  <c r="R150"/>
  <c r="R151"/>
  <c r="S247"/>
  <c r="R153"/>
  <c r="S255"/>
  <c r="S116"/>
  <c r="S173"/>
  <c r="S263"/>
  <c r="R163"/>
  <c r="R164"/>
  <c r="R162"/>
  <c r="R130"/>
  <c r="R129"/>
  <c r="S284"/>
  <c r="S293"/>
  <c r="R136"/>
  <c r="S302"/>
  <c r="R135"/>
  <c r="S311"/>
  <c r="R114"/>
  <c r="S320"/>
  <c r="S121"/>
  <c r="S224"/>
  <c r="S198" s="1"/>
  <c r="S226"/>
  <c r="S147"/>
  <c r="S148"/>
  <c r="S149"/>
  <c r="S146"/>
  <c r="S223"/>
  <c r="S145"/>
  <c r="S171"/>
  <c r="S225"/>
  <c r="S199" s="1"/>
  <c r="S131"/>
  <c r="Q304"/>
  <c r="Q313"/>
  <c r="Q322"/>
  <c r="R235"/>
  <c r="R243"/>
  <c r="R251"/>
  <c r="Q158"/>
  <c r="Q161"/>
  <c r="Q160"/>
  <c r="R259"/>
  <c r="R267"/>
  <c r="R277"/>
  <c r="R289"/>
  <c r="R298"/>
  <c r="R306"/>
  <c r="R315"/>
  <c r="R191"/>
  <c r="R183"/>
  <c r="R192"/>
  <c r="R196"/>
  <c r="R182"/>
  <c r="R198"/>
  <c r="R184"/>
  <c r="R215"/>
  <c r="R189" s="1"/>
  <c r="R197"/>
  <c r="R199"/>
  <c r="R200"/>
  <c r="R193"/>
  <c r="R172"/>
  <c r="R194"/>
  <c r="R181"/>
  <c r="S229"/>
  <c r="R216"/>
  <c r="R190" s="1"/>
  <c r="R115"/>
  <c r="R54"/>
  <c r="R125"/>
  <c r="S237"/>
  <c r="R126"/>
  <c r="R127"/>
  <c r="R219"/>
  <c r="S193" s="1"/>
  <c r="R218"/>
  <c r="S192" s="1"/>
  <c r="R167"/>
  <c r="R144"/>
  <c r="S245"/>
  <c r="S253"/>
  <c r="S261"/>
  <c r="S270"/>
  <c r="S291"/>
  <c r="S300"/>
  <c r="R134"/>
  <c r="S118"/>
  <c r="R139"/>
  <c r="S174"/>
  <c r="S309"/>
  <c r="S318"/>
  <c r="S117"/>
  <c r="S153"/>
  <c r="S150"/>
  <c r="S152"/>
  <c r="S151"/>
  <c r="S164"/>
  <c r="S162"/>
  <c r="S163"/>
  <c r="S129"/>
  <c r="S130"/>
  <c r="S135"/>
  <c r="S136"/>
  <c r="S114"/>
  <c r="N204"/>
  <c r="N207"/>
  <c r="N202"/>
  <c r="N206"/>
  <c r="F210"/>
  <c r="F213"/>
  <c r="F209"/>
  <c r="F208"/>
  <c r="F211"/>
  <c r="S207"/>
  <c r="S204"/>
  <c r="S206"/>
  <c r="S203"/>
  <c r="S205"/>
  <c r="S202"/>
  <c r="N212"/>
  <c r="N210"/>
  <c r="N213"/>
  <c r="N208"/>
  <c r="N209"/>
  <c r="N211"/>
  <c r="S213"/>
  <c r="S208"/>
  <c r="S212"/>
  <c r="S211"/>
  <c r="S210"/>
  <c r="S209"/>
  <c r="H210"/>
  <c r="H213"/>
  <c r="H211"/>
  <c r="H212"/>
  <c r="H208"/>
  <c r="H209"/>
  <c r="Q204"/>
  <c r="Q203"/>
  <c r="Q202"/>
  <c r="Q206"/>
  <c r="Q205"/>
  <c r="Q207"/>
  <c r="M210"/>
  <c r="M212"/>
  <c r="M209"/>
  <c r="M211"/>
  <c r="M208"/>
  <c r="M213"/>
  <c r="J203"/>
  <c r="J206"/>
  <c r="J207"/>
  <c r="J202"/>
  <c r="J204"/>
  <c r="J205"/>
  <c r="I202"/>
  <c r="I205"/>
  <c r="I203"/>
  <c r="I204"/>
  <c r="I207"/>
  <c r="I206"/>
  <c r="L211"/>
  <c r="L209"/>
  <c r="L213"/>
  <c r="L212"/>
  <c r="L210"/>
  <c r="L208"/>
  <c r="K213"/>
  <c r="K211"/>
  <c r="K209"/>
  <c r="K212"/>
  <c r="K208"/>
  <c r="K210"/>
  <c r="G204"/>
  <c r="G202"/>
  <c r="G205"/>
  <c r="G206"/>
  <c r="G207"/>
  <c r="G203"/>
  <c r="M207"/>
  <c r="M204"/>
  <c r="M202"/>
  <c r="M205"/>
  <c r="M206"/>
  <c r="M203"/>
  <c r="H204"/>
  <c r="H202"/>
  <c r="H205"/>
  <c r="H206"/>
  <c r="H207"/>
  <c r="J212"/>
  <c r="J208"/>
  <c r="J213"/>
  <c r="J209"/>
  <c r="J210"/>
  <c r="J211"/>
  <c r="R212"/>
  <c r="R211"/>
  <c r="R210"/>
  <c r="R209"/>
  <c r="R213"/>
  <c r="G210"/>
  <c r="G208"/>
  <c r="G212"/>
  <c r="G213"/>
  <c r="G209"/>
  <c r="G211"/>
  <c r="F207"/>
  <c r="F202"/>
  <c r="F205"/>
  <c r="F206"/>
  <c r="L207"/>
  <c r="L205"/>
  <c r="L204"/>
  <c r="L206"/>
  <c r="L202"/>
  <c r="L203"/>
  <c r="O204"/>
  <c r="O202"/>
  <c r="O205"/>
  <c r="O206"/>
  <c r="O207"/>
  <c r="O208"/>
  <c r="O209"/>
  <c r="O210"/>
  <c r="O212"/>
  <c r="O211"/>
  <c r="O213"/>
  <c r="P208"/>
  <c r="P211"/>
  <c r="P212"/>
  <c r="P210"/>
  <c r="P209"/>
  <c r="P213"/>
  <c r="I213"/>
  <c r="I212"/>
  <c r="I211"/>
  <c r="I208"/>
  <c r="I210"/>
  <c r="I209"/>
  <c r="K203"/>
  <c r="K207"/>
  <c r="K202"/>
  <c r="K206"/>
  <c r="K204"/>
  <c r="K205"/>
  <c r="R203"/>
  <c r="R207"/>
  <c r="R202"/>
  <c r="R205"/>
  <c r="R204"/>
  <c r="R206"/>
  <c r="P204"/>
  <c r="P202"/>
  <c r="P206"/>
  <c r="P205"/>
  <c r="P207"/>
  <c r="P203"/>
  <c r="S190"/>
  <c r="N191"/>
  <c r="K195"/>
  <c r="I197"/>
  <c r="I198"/>
  <c r="P199"/>
  <c r="M199"/>
  <c r="H199"/>
  <c r="G197"/>
  <c r="O191"/>
  <c r="K196"/>
  <c r="G189"/>
  <c r="L190"/>
  <c r="L189"/>
  <c r="H189"/>
  <c r="H190"/>
  <c r="O192"/>
  <c r="H192"/>
  <c r="S197"/>
  <c r="S200"/>
  <c r="S191"/>
  <c r="P198"/>
  <c r="S195"/>
  <c r="S189"/>
  <c r="P196"/>
  <c r="O195"/>
  <c r="L200"/>
  <c r="H191"/>
  <c r="J191"/>
  <c r="J194"/>
  <c r="I200"/>
  <c r="I199"/>
  <c r="M197"/>
  <c r="M200"/>
  <c r="N189"/>
  <c r="G198"/>
  <c r="G200"/>
  <c r="H193"/>
  <c r="O189"/>
  <c r="I3"/>
  <c r="Q144"/>
  <c r="Q167"/>
  <c r="R246"/>
  <c r="Q115"/>
  <c r="Q172"/>
  <c r="Q240"/>
  <c r="Q221"/>
  <c r="R240"/>
  <c r="O299"/>
  <c r="N216"/>
  <c r="O203"/>
  <c r="O291"/>
  <c r="N150"/>
  <c r="K140"/>
  <c r="K174"/>
  <c r="L311"/>
  <c r="K139"/>
  <c r="K136"/>
  <c r="L304"/>
  <c r="I307"/>
  <c r="H203"/>
  <c r="E217"/>
  <c r="F204"/>
  <c r="E216"/>
  <c r="E225"/>
  <c r="F212" s="1"/>
  <c r="F203"/>
  <c r="F190"/>
  <c r="R195"/>
  <c r="R208"/>
  <c r="O190"/>
  <c r="F191"/>
  <c r="J3"/>
  <c r="K3"/>
  <c r="L3" s="1"/>
  <c r="M3" s="1"/>
  <c r="N3" s="1"/>
  <c r="O3" s="1"/>
  <c r="P3" s="1"/>
  <c r="Q3" s="1"/>
  <c r="R3" s="1"/>
  <c r="S3" s="1"/>
  <c r="Q208"/>
  <c r="Q211"/>
  <c r="Q209"/>
  <c r="Q195"/>
  <c r="Q210"/>
  <c r="Q212"/>
  <c r="Q213"/>
  <c r="N190"/>
  <c r="N203"/>
  <c r="N196"/>
  <c r="G194"/>
  <c r="L199"/>
  <c r="J190"/>
  <c r="I2"/>
  <c r="F199" l="1"/>
  <c r="P102" i="8"/>
  <c r="P86"/>
  <c r="P90"/>
  <c r="P99"/>
  <c r="P100"/>
  <c r="P79"/>
  <c r="P63"/>
  <c r="P96"/>
  <c r="P88"/>
  <c r="P103"/>
  <c r="P77"/>
  <c r="P101"/>
  <c r="P73"/>
  <c r="P66"/>
  <c r="P51"/>
  <c r="P35"/>
  <c r="P84"/>
  <c r="P98"/>
  <c r="P85"/>
  <c r="P74"/>
  <c r="P29"/>
  <c r="P13"/>
  <c r="P47"/>
  <c r="P23"/>
  <c r="P56"/>
  <c r="P45"/>
  <c r="P42"/>
  <c r="P40"/>
  <c r="P72"/>
  <c r="P53"/>
  <c r="P49"/>
  <c r="P28"/>
  <c r="P57"/>
  <c r="P27"/>
  <c r="P33"/>
  <c r="P24"/>
  <c r="P39"/>
  <c r="P16"/>
  <c r="P14"/>
  <c r="P11"/>
  <c r="P34"/>
  <c r="P64"/>
  <c r="P62"/>
  <c r="P19"/>
  <c r="P67"/>
  <c r="P18"/>
  <c r="P37"/>
  <c r="P22"/>
  <c r="P94"/>
  <c r="P95"/>
  <c r="P104"/>
  <c r="P97"/>
  <c r="P93"/>
  <c r="P71"/>
  <c r="P55"/>
  <c r="P91"/>
  <c r="P75"/>
  <c r="P83"/>
  <c r="P82"/>
  <c r="P80"/>
  <c r="P68"/>
  <c r="P61"/>
  <c r="P43"/>
  <c r="P89"/>
  <c r="P76"/>
  <c r="P87"/>
  <c r="P81"/>
  <c r="P50"/>
  <c r="P21"/>
  <c r="P70"/>
  <c r="P30"/>
  <c r="P78"/>
  <c r="P46"/>
  <c r="P44"/>
  <c r="P41"/>
  <c r="P25"/>
  <c r="P54"/>
  <c r="P52"/>
  <c r="P48"/>
  <c r="P58"/>
  <c r="P32"/>
  <c r="P92"/>
  <c r="P31"/>
  <c r="P59"/>
  <c r="P38"/>
  <c r="P15"/>
  <c r="P12"/>
  <c r="P10"/>
  <c r="P26"/>
  <c r="P60"/>
  <c r="P20"/>
  <c r="P69"/>
  <c r="P65"/>
  <c r="P36"/>
  <c r="P17"/>
  <c r="Q9"/>
  <c r="F12"/>
  <c r="F17"/>
  <c r="H17"/>
  <c r="G18"/>
  <c r="F20"/>
  <c r="G27"/>
  <c r="H31"/>
  <c r="G32"/>
  <c r="F38"/>
  <c r="G52"/>
  <c r="G10"/>
  <c r="F13"/>
  <c r="G17"/>
  <c r="F18"/>
  <c r="G19"/>
  <c r="F23"/>
  <c r="F32"/>
  <c r="Q103" l="1"/>
  <c r="Q87"/>
  <c r="Q104"/>
  <c r="Q97"/>
  <c r="Q85"/>
  <c r="Q83"/>
  <c r="Q72"/>
  <c r="Q56"/>
  <c r="Q70"/>
  <c r="Q86"/>
  <c r="Q98"/>
  <c r="Q84"/>
  <c r="Q96"/>
  <c r="Q75"/>
  <c r="Q44"/>
  <c r="Q76"/>
  <c r="Q71"/>
  <c r="Q101"/>
  <c r="Q40"/>
  <c r="Q33"/>
  <c r="Q22"/>
  <c r="Q78"/>
  <c r="Q41"/>
  <c r="Q39"/>
  <c r="Q81"/>
  <c r="Q93"/>
  <c r="Q51"/>
  <c r="Q47"/>
  <c r="Q18"/>
  <c r="Q11"/>
  <c r="Q25"/>
  <c r="Q53"/>
  <c r="Q48"/>
  <c r="Q24"/>
  <c r="Q60"/>
  <c r="Q26"/>
  <c r="Q58"/>
  <c r="Q57"/>
  <c r="Q65"/>
  <c r="Q62"/>
  <c r="Q13"/>
  <c r="Q63"/>
  <c r="Q10"/>
  <c r="Q37"/>
  <c r="Q29"/>
  <c r="Q12"/>
  <c r="Q54"/>
  <c r="Q20"/>
  <c r="Q95"/>
  <c r="Q102"/>
  <c r="Q99"/>
  <c r="Q92"/>
  <c r="Q88"/>
  <c r="Q80"/>
  <c r="Q64"/>
  <c r="Q77"/>
  <c r="Q94"/>
  <c r="Q89"/>
  <c r="Q91"/>
  <c r="Q36"/>
  <c r="Q100"/>
  <c r="Q38"/>
  <c r="Q14"/>
  <c r="Q43"/>
  <c r="Q69"/>
  <c r="Q50"/>
  <c r="Q16"/>
  <c r="Q32"/>
  <c r="Q31"/>
  <c r="Q34"/>
  <c r="Q28"/>
  <c r="Q66"/>
  <c r="Q74"/>
  <c r="Q59"/>
  <c r="R9"/>
  <c r="Q90"/>
  <c r="Q82"/>
  <c r="Q79"/>
  <c r="Q52"/>
  <c r="Q73"/>
  <c r="Q45"/>
  <c r="Q30"/>
  <c r="Q42"/>
  <c r="Q27"/>
  <c r="Q55"/>
  <c r="Q23"/>
  <c r="Q46"/>
  <c r="Q35"/>
  <c r="Q21"/>
  <c r="Q49"/>
  <c r="Q67"/>
  <c r="Q68"/>
  <c r="Q61"/>
  <c r="Q19"/>
  <c r="Q17"/>
  <c r="Q15"/>
  <c r="R104" l="1"/>
  <c r="R88"/>
  <c r="R97"/>
  <c r="R102"/>
  <c r="R90"/>
  <c r="R73"/>
  <c r="R57"/>
  <c r="R94"/>
  <c r="R83"/>
  <c r="R98"/>
  <c r="R84"/>
  <c r="R92"/>
  <c r="R74"/>
  <c r="R70"/>
  <c r="R56"/>
  <c r="R45"/>
  <c r="R100"/>
  <c r="R91"/>
  <c r="R72"/>
  <c r="R52"/>
  <c r="R31"/>
  <c r="R15"/>
  <c r="R96"/>
  <c r="R101"/>
  <c r="R81"/>
  <c r="R103"/>
  <c r="R82"/>
  <c r="R79"/>
  <c r="R77"/>
  <c r="R53"/>
  <c r="R75"/>
  <c r="R71"/>
  <c r="R23"/>
  <c r="R87"/>
  <c r="R35"/>
  <c r="R32"/>
  <c r="R60"/>
  <c r="R42"/>
  <c r="R30"/>
  <c r="R44"/>
  <c r="R40"/>
  <c r="R27"/>
  <c r="R22"/>
  <c r="R26"/>
  <c r="R19"/>
  <c r="R64"/>
  <c r="R36"/>
  <c r="R55"/>
  <c r="S9"/>
  <c r="R24"/>
  <c r="R61"/>
  <c r="R93"/>
  <c r="R58"/>
  <c r="R10"/>
  <c r="R29"/>
  <c r="R50"/>
  <c r="R11"/>
  <c r="R38"/>
  <c r="R14"/>
  <c r="R99"/>
  <c r="R95"/>
  <c r="R65"/>
  <c r="R86"/>
  <c r="R89"/>
  <c r="R76"/>
  <c r="R63"/>
  <c r="R37"/>
  <c r="R78"/>
  <c r="R47"/>
  <c r="R20"/>
  <c r="R69"/>
  <c r="R34"/>
  <c r="R80"/>
  <c r="R41"/>
  <c r="R43"/>
  <c r="R21"/>
  <c r="R67"/>
  <c r="R62"/>
  <c r="R51"/>
  <c r="R85"/>
  <c r="R68"/>
  <c r="R59"/>
  <c r="R17"/>
  <c r="R16"/>
  <c r="R46"/>
  <c r="R25"/>
  <c r="R39"/>
  <c r="R33"/>
  <c r="R66"/>
  <c r="R49"/>
  <c r="R48"/>
  <c r="R54"/>
  <c r="R18"/>
  <c r="R13"/>
  <c r="R28"/>
  <c r="R12"/>
  <c r="S97" l="1"/>
  <c r="S104"/>
  <c r="S94"/>
  <c r="S99"/>
  <c r="S85"/>
  <c r="S66"/>
  <c r="S102"/>
  <c r="S84"/>
  <c r="S72"/>
  <c r="S81"/>
  <c r="S95"/>
  <c r="S86"/>
  <c r="S82"/>
  <c r="S54"/>
  <c r="S38"/>
  <c r="S78"/>
  <c r="S77"/>
  <c r="S68"/>
  <c r="S75"/>
  <c r="S49"/>
  <c r="S35"/>
  <c r="S16"/>
  <c r="S80"/>
  <c r="S36"/>
  <c r="S29"/>
  <c r="S67"/>
  <c r="S70"/>
  <c r="S43"/>
  <c r="S39"/>
  <c r="S20"/>
  <c r="S45"/>
  <c r="S32"/>
  <c r="S65"/>
  <c r="S96"/>
  <c r="S61"/>
  <c r="S53"/>
  <c r="S19"/>
  <c r="S18"/>
  <c r="S48"/>
  <c r="S23"/>
  <c r="S41"/>
  <c r="T9"/>
  <c r="S63"/>
  <c r="S28"/>
  <c r="S12"/>
  <c r="S51"/>
  <c r="S30"/>
  <c r="S10"/>
  <c r="S89"/>
  <c r="S87"/>
  <c r="S74"/>
  <c r="S98"/>
  <c r="S76"/>
  <c r="S88"/>
  <c r="S60"/>
  <c r="S91"/>
  <c r="S69"/>
  <c r="S73"/>
  <c r="S24"/>
  <c r="S37"/>
  <c r="S71"/>
  <c r="S44"/>
  <c r="S27"/>
  <c r="S34"/>
  <c r="S17"/>
  <c r="S50"/>
  <c r="S62"/>
  <c r="S47"/>
  <c r="S26"/>
  <c r="S90"/>
  <c r="S25"/>
  <c r="S11"/>
  <c r="S101"/>
  <c r="S92"/>
  <c r="S58"/>
  <c r="S79"/>
  <c r="S103"/>
  <c r="S83"/>
  <c r="S46"/>
  <c r="S93"/>
  <c r="S100"/>
  <c r="S42"/>
  <c r="S56"/>
  <c r="S33"/>
  <c r="S59"/>
  <c r="S40"/>
  <c r="S13"/>
  <c r="S31"/>
  <c r="S52"/>
  <c r="S22"/>
  <c r="S57"/>
  <c r="S21"/>
  <c r="S64"/>
  <c r="S15"/>
  <c r="S55"/>
  <c r="S14"/>
  <c r="T98" l="1"/>
  <c r="T82"/>
  <c r="T91"/>
  <c r="T103"/>
  <c r="T104"/>
  <c r="T75"/>
  <c r="T59"/>
  <c r="T76"/>
  <c r="T81"/>
  <c r="T100"/>
  <c r="T78"/>
  <c r="T94"/>
  <c r="T72"/>
  <c r="T58"/>
  <c r="T39"/>
  <c r="T93"/>
  <c r="T77"/>
  <c r="T68"/>
  <c r="T32"/>
  <c r="T17"/>
  <c r="T80"/>
  <c r="T29"/>
  <c r="T83"/>
  <c r="T60"/>
  <c r="T26"/>
  <c r="T62"/>
  <c r="T56"/>
  <c r="T34"/>
  <c r="U9"/>
  <c r="T35"/>
  <c r="T70"/>
  <c r="T53"/>
  <c r="T19"/>
  <c r="T85"/>
  <c r="T18"/>
  <c r="T41"/>
  <c r="T31"/>
  <c r="T52"/>
  <c r="T73"/>
  <c r="T63"/>
  <c r="T12"/>
  <c r="T48"/>
  <c r="T28"/>
  <c r="T57"/>
  <c r="T46"/>
  <c r="T16"/>
  <c r="T23"/>
  <c r="T14"/>
  <c r="T90"/>
  <c r="T84"/>
  <c r="T97"/>
  <c r="T89"/>
  <c r="T74"/>
  <c r="T102"/>
  <c r="T65"/>
  <c r="T99"/>
  <c r="T69"/>
  <c r="T25"/>
  <c r="T37"/>
  <c r="T71"/>
  <c r="T64"/>
  <c r="T45"/>
  <c r="T36"/>
  <c r="T30"/>
  <c r="T43"/>
  <c r="T44"/>
  <c r="T24"/>
  <c r="T66"/>
  <c r="T51"/>
  <c r="T15"/>
  <c r="T21"/>
  <c r="T20"/>
  <c r="T101"/>
  <c r="T96"/>
  <c r="T67"/>
  <c r="T92"/>
  <c r="T87"/>
  <c r="T79"/>
  <c r="T47"/>
  <c r="T86"/>
  <c r="T54"/>
  <c r="T88"/>
  <c r="T22"/>
  <c r="T38"/>
  <c r="T61"/>
  <c r="T10"/>
  <c r="T33"/>
  <c r="T49"/>
  <c r="T42"/>
  <c r="T40"/>
  <c r="T27"/>
  <c r="T50"/>
  <c r="T95"/>
  <c r="T55"/>
  <c r="T11"/>
  <c r="T13"/>
  <c r="U99" l="1"/>
  <c r="U83"/>
  <c r="U96"/>
  <c r="U100"/>
  <c r="U101"/>
  <c r="U87"/>
  <c r="U68"/>
  <c r="U92"/>
  <c r="U74"/>
  <c r="U78"/>
  <c r="U93"/>
  <c r="U69"/>
  <c r="U62"/>
  <c r="U48"/>
  <c r="U32"/>
  <c r="U77"/>
  <c r="U72"/>
  <c r="U61"/>
  <c r="U88"/>
  <c r="U44"/>
  <c r="U26"/>
  <c r="U10"/>
  <c r="U71"/>
  <c r="U31"/>
  <c r="U66"/>
  <c r="U63"/>
  <c r="U57"/>
  <c r="U36"/>
  <c r="U33"/>
  <c r="U22"/>
  <c r="U38"/>
  <c r="U20"/>
  <c r="U56"/>
  <c r="U34"/>
  <c r="U12"/>
  <c r="U73"/>
  <c r="U45"/>
  <c r="U17"/>
  <c r="U43"/>
  <c r="U70"/>
  <c r="U27"/>
  <c r="U19"/>
  <c r="U13"/>
  <c r="U90"/>
  <c r="U41"/>
  <c r="U25"/>
  <c r="U16"/>
  <c r="U23"/>
  <c r="U91"/>
  <c r="U89"/>
  <c r="U94"/>
  <c r="U60"/>
  <c r="U97"/>
  <c r="U84"/>
  <c r="U55"/>
  <c r="U86"/>
  <c r="U64"/>
  <c r="U51"/>
  <c r="U18"/>
  <c r="U59"/>
  <c r="U65"/>
  <c r="U80"/>
  <c r="U29"/>
  <c r="U53"/>
  <c r="U42"/>
  <c r="U28"/>
  <c r="U30"/>
  <c r="U75"/>
  <c r="U49"/>
  <c r="U11"/>
  <c r="U39"/>
  <c r="U47"/>
  <c r="U103"/>
  <c r="U98"/>
  <c r="U76"/>
  <c r="U81"/>
  <c r="U104"/>
  <c r="U67"/>
  <c r="U40"/>
  <c r="U82"/>
  <c r="U102"/>
  <c r="U37"/>
  <c r="U79"/>
  <c r="U95"/>
  <c r="U58"/>
  <c r="U35"/>
  <c r="U15"/>
  <c r="U85"/>
  <c r="V9"/>
  <c r="U50"/>
  <c r="U54"/>
  <c r="U52"/>
  <c r="U14"/>
  <c r="U46"/>
  <c r="U24"/>
  <c r="U21"/>
  <c r="V100" l="1"/>
  <c r="V84"/>
  <c r="V96"/>
  <c r="V93"/>
  <c r="V82"/>
  <c r="V69"/>
  <c r="V97"/>
  <c r="V71"/>
  <c r="V87"/>
  <c r="V90"/>
  <c r="V80"/>
  <c r="V81"/>
  <c r="V74"/>
  <c r="V41"/>
  <c r="V72"/>
  <c r="V64"/>
  <c r="V101"/>
  <c r="V67"/>
  <c r="V65"/>
  <c r="V62"/>
  <c r="V59"/>
  <c r="V70"/>
  <c r="V39"/>
  <c r="V27"/>
  <c r="V11"/>
  <c r="V95"/>
  <c r="V58"/>
  <c r="V53"/>
  <c r="V48"/>
  <c r="V38"/>
  <c r="V32"/>
  <c r="V12"/>
  <c r="V26"/>
  <c r="V13"/>
  <c r="V73"/>
  <c r="V30"/>
  <c r="V18"/>
  <c r="V16"/>
  <c r="V54"/>
  <c r="V35"/>
  <c r="V46"/>
  <c r="V15"/>
  <c r="V42"/>
  <c r="V36"/>
  <c r="V55"/>
  <c r="V75"/>
  <c r="V47"/>
  <c r="V23"/>
  <c r="V92"/>
  <c r="V98"/>
  <c r="V77"/>
  <c r="V78"/>
  <c r="V99"/>
  <c r="V89"/>
  <c r="V49"/>
  <c r="V68"/>
  <c r="V88"/>
  <c r="V63"/>
  <c r="V57"/>
  <c r="V34"/>
  <c r="V83"/>
  <c r="V28"/>
  <c r="V79"/>
  <c r="V17"/>
  <c r="V24"/>
  <c r="V45"/>
  <c r="V14"/>
  <c r="V43"/>
  <c r="V29"/>
  <c r="W9"/>
  <c r="V40"/>
  <c r="V44"/>
  <c r="V103"/>
  <c r="V86"/>
  <c r="V61"/>
  <c r="V104"/>
  <c r="V85"/>
  <c r="V76"/>
  <c r="V33"/>
  <c r="V102"/>
  <c r="V66"/>
  <c r="V60"/>
  <c r="V91"/>
  <c r="V19"/>
  <c r="V94"/>
  <c r="V50"/>
  <c r="V37"/>
  <c r="V31"/>
  <c r="V10"/>
  <c r="V22"/>
  <c r="V51"/>
  <c r="V20"/>
  <c r="V56"/>
  <c r="V25"/>
  <c r="V52"/>
  <c r="V21"/>
  <c r="W101" l="1"/>
  <c r="W85"/>
  <c r="W100"/>
  <c r="W95"/>
  <c r="W96"/>
  <c r="W89"/>
  <c r="W78"/>
  <c r="W62"/>
  <c r="W87"/>
  <c r="W90"/>
  <c r="W73"/>
  <c r="W97"/>
  <c r="W71"/>
  <c r="W57"/>
  <c r="W42"/>
  <c r="W88"/>
  <c r="W69"/>
  <c r="W66"/>
  <c r="W63"/>
  <c r="W60"/>
  <c r="W58"/>
  <c r="W79"/>
  <c r="W77"/>
  <c r="W72"/>
  <c r="W53"/>
  <c r="W46"/>
  <c r="W28"/>
  <c r="W12"/>
  <c r="W21"/>
  <c r="W55"/>
  <c r="W52"/>
  <c r="W49"/>
  <c r="W26"/>
  <c r="W19"/>
  <c r="W33"/>
  <c r="W22"/>
  <c r="X9"/>
  <c r="W35"/>
  <c r="W14"/>
  <c r="W11"/>
  <c r="W36"/>
  <c r="W25"/>
  <c r="W10"/>
  <c r="W47"/>
  <c r="W32"/>
  <c r="W74"/>
  <c r="W39"/>
  <c r="W44"/>
  <c r="W93"/>
  <c r="W102"/>
  <c r="W91"/>
  <c r="W70"/>
  <c r="W99"/>
  <c r="W75"/>
  <c r="W64"/>
  <c r="W34"/>
  <c r="W67"/>
  <c r="W61"/>
  <c r="W83"/>
  <c r="W76"/>
  <c r="W48"/>
  <c r="W20"/>
  <c r="W81"/>
  <c r="W51"/>
  <c r="W24"/>
  <c r="W30"/>
  <c r="W43"/>
  <c r="W13"/>
  <c r="W29"/>
  <c r="W23"/>
  <c r="W18"/>
  <c r="W27"/>
  <c r="W98"/>
  <c r="W103"/>
  <c r="W84"/>
  <c r="W104"/>
  <c r="W80"/>
  <c r="W92"/>
  <c r="W50"/>
  <c r="W82"/>
  <c r="W65"/>
  <c r="W59"/>
  <c r="W86"/>
  <c r="W68"/>
  <c r="W41"/>
  <c r="W94"/>
  <c r="W54"/>
  <c r="W31"/>
  <c r="W45"/>
  <c r="W16"/>
  <c r="W17"/>
  <c r="W37"/>
  <c r="W15"/>
  <c r="W56"/>
  <c r="W38"/>
  <c r="W40"/>
  <c r="X104" l="1"/>
  <c r="X94"/>
  <c r="X100"/>
  <c r="X88"/>
  <c r="X79"/>
  <c r="X63"/>
  <c r="X99"/>
  <c r="X80"/>
  <c r="X93"/>
  <c r="X75"/>
  <c r="X87"/>
  <c r="X59"/>
  <c r="X43"/>
  <c r="X103"/>
  <c r="X62"/>
  <c r="X57"/>
  <c r="X83"/>
  <c r="X89"/>
  <c r="X82"/>
  <c r="X67"/>
  <c r="X65"/>
  <c r="X61"/>
  <c r="X36"/>
  <c r="X21"/>
  <c r="X81"/>
  <c r="X53"/>
  <c r="X50"/>
  <c r="X48"/>
  <c r="X47"/>
  <c r="X28"/>
  <c r="X37"/>
  <c r="X25"/>
  <c r="X16"/>
  <c r="X12"/>
  <c r="X40"/>
  <c r="X72"/>
  <c r="X23"/>
  <c r="X44"/>
  <c r="X76"/>
  <c r="X42"/>
  <c r="X26"/>
  <c r="X19"/>
  <c r="X96"/>
  <c r="X11"/>
  <c r="X68"/>
  <c r="X41"/>
  <c r="Y9"/>
  <c r="X31"/>
  <c r="X102"/>
  <c r="X95"/>
  <c r="X71"/>
  <c r="X90"/>
  <c r="X85"/>
  <c r="X78"/>
  <c r="X35"/>
  <c r="X58"/>
  <c r="X70"/>
  <c r="X69"/>
  <c r="X64"/>
  <c r="X29"/>
  <c r="X54"/>
  <c r="X49"/>
  <c r="X14"/>
  <c r="X92"/>
  <c r="X15"/>
  <c r="X38"/>
  <c r="X97"/>
  <c r="X45"/>
  <c r="X22"/>
  <c r="X17"/>
  <c r="X39"/>
  <c r="X27"/>
  <c r="X86"/>
  <c r="X98"/>
  <c r="X55"/>
  <c r="X73"/>
  <c r="X77"/>
  <c r="X51"/>
  <c r="X101"/>
  <c r="X56"/>
  <c r="X84"/>
  <c r="X66"/>
  <c r="X60"/>
  <c r="X13"/>
  <c r="X52"/>
  <c r="X30"/>
  <c r="X34"/>
  <c r="X20"/>
  <c r="X10"/>
  <c r="X46"/>
  <c r="X91"/>
  <c r="X33"/>
  <c r="X18"/>
  <c r="X74"/>
  <c r="X24"/>
  <c r="X32"/>
  <c r="Y103" l="1"/>
  <c r="Y87"/>
  <c r="Y90"/>
  <c r="Y97"/>
  <c r="Y93"/>
  <c r="Y80"/>
  <c r="Y64"/>
  <c r="Y85"/>
  <c r="Y77"/>
  <c r="Y88"/>
  <c r="Y104"/>
  <c r="Y73"/>
  <c r="Y66"/>
  <c r="Y52"/>
  <c r="Y36"/>
  <c r="Y70"/>
  <c r="Y101"/>
  <c r="Y62"/>
  <c r="Y58"/>
  <c r="Y50"/>
  <c r="Y30"/>
  <c r="Y14"/>
  <c r="Y60"/>
  <c r="Y82"/>
  <c r="Y65"/>
  <c r="Y51"/>
  <c r="Y25"/>
  <c r="Y76"/>
  <c r="Y46"/>
  <c r="Y42"/>
  <c r="Y94"/>
  <c r="Y71"/>
  <c r="Y21"/>
  <c r="Y49"/>
  <c r="Y23"/>
  <c r="Y89"/>
  <c r="Y37"/>
  <c r="Y38"/>
  <c r="Y17"/>
  <c r="Y35"/>
  <c r="Y16"/>
  <c r="Y12"/>
  <c r="Y10"/>
  <c r="Y32"/>
  <c r="Y33"/>
  <c r="Z9"/>
  <c r="Y31"/>
  <c r="Y18"/>
  <c r="Y95"/>
  <c r="Y99"/>
  <c r="Y86"/>
  <c r="Y56"/>
  <c r="Y91"/>
  <c r="Y98"/>
  <c r="Y61"/>
  <c r="Y78"/>
  <c r="Y63"/>
  <c r="Y57"/>
  <c r="Y22"/>
  <c r="Y53"/>
  <c r="Y55"/>
  <c r="Y96"/>
  <c r="Y45"/>
  <c r="Y81"/>
  <c r="Y54"/>
  <c r="Y15"/>
  <c r="Y40"/>
  <c r="Y92"/>
  <c r="Y13"/>
  <c r="Y39"/>
  <c r="Y26"/>
  <c r="Y24"/>
  <c r="Y102"/>
  <c r="Y100"/>
  <c r="Y72"/>
  <c r="Y75"/>
  <c r="Y83"/>
  <c r="Y68"/>
  <c r="Y44"/>
  <c r="Y79"/>
  <c r="Y59"/>
  <c r="Y43"/>
  <c r="Y69"/>
  <c r="Y67"/>
  <c r="Y47"/>
  <c r="Y74"/>
  <c r="Y41"/>
  <c r="Y28"/>
  <c r="Y48"/>
  <c r="Y29"/>
  <c r="Y34"/>
  <c r="Y20"/>
  <c r="Y11"/>
  <c r="Y84"/>
  <c r="Y27"/>
  <c r="Y19"/>
  <c r="Z104" l="1"/>
  <c r="Z88"/>
  <c r="Z95"/>
  <c r="Z97"/>
  <c r="Z85"/>
  <c r="Z81"/>
  <c r="Z65"/>
  <c r="Z93"/>
  <c r="Z70"/>
  <c r="Z91"/>
  <c r="Z82"/>
  <c r="Z90"/>
  <c r="Z75"/>
  <c r="Z45"/>
  <c r="Z98"/>
  <c r="Z71"/>
  <c r="Z78"/>
  <c r="Z55"/>
  <c r="Z38"/>
  <c r="Z31"/>
  <c r="Z15"/>
  <c r="Z67"/>
  <c r="Z58"/>
  <c r="Z51"/>
  <c r="Z66"/>
  <c r="Z63"/>
  <c r="Z61"/>
  <c r="Z42"/>
  <c r="Z27"/>
  <c r="Z84"/>
  <c r="Z43"/>
  <c r="Z60"/>
  <c r="Z49"/>
  <c r="Z18"/>
  <c r="Z11"/>
  <c r="Z47"/>
  <c r="Z25"/>
  <c r="Z72"/>
  <c r="Z24"/>
  <c r="Z39"/>
  <c r="Z21"/>
  <c r="Z20"/>
  <c r="Z12"/>
  <c r="Z94"/>
  <c r="Z68"/>
  <c r="Z17"/>
  <c r="Z34"/>
  <c r="Z19"/>
  <c r="Z96"/>
  <c r="Z99"/>
  <c r="Z83"/>
  <c r="Z57"/>
  <c r="Z100"/>
  <c r="Z79"/>
  <c r="Z53"/>
  <c r="Z74"/>
  <c r="Z56"/>
  <c r="Z33"/>
  <c r="Z87"/>
  <c r="Z52"/>
  <c r="Z64"/>
  <c r="Z46"/>
  <c r="Z89"/>
  <c r="Z69"/>
  <c r="Z48"/>
  <c r="Z50"/>
  <c r="Z29"/>
  <c r="Z32"/>
  <c r="Z35"/>
  <c r="Z10"/>
  <c r="Z86"/>
  <c r="Z26"/>
  <c r="Z102"/>
  <c r="Z92"/>
  <c r="Z73"/>
  <c r="Z77"/>
  <c r="Z101"/>
  <c r="Z80"/>
  <c r="Z37"/>
  <c r="Z103"/>
  <c r="Z40"/>
  <c r="Z23"/>
  <c r="Z59"/>
  <c r="Z76"/>
  <c r="Z62"/>
  <c r="Z41"/>
  <c r="Z44"/>
  <c r="Z54"/>
  <c r="Z16"/>
  <c r="Z30"/>
  <c r="Z36"/>
  <c r="Z28"/>
  <c r="Z13"/>
  <c r="Z14"/>
  <c r="AA9"/>
  <c r="Z22"/>
  <c r="AA97" l="1"/>
  <c r="AA81"/>
  <c r="AA104"/>
  <c r="AA102"/>
  <c r="AA90"/>
  <c r="AA74"/>
  <c r="AA58"/>
  <c r="AA91"/>
  <c r="AA82"/>
  <c r="AA94"/>
  <c r="AA76"/>
  <c r="AA85"/>
  <c r="AA70"/>
  <c r="AA56"/>
  <c r="AA46"/>
  <c r="AA98"/>
  <c r="AA96"/>
  <c r="AA80"/>
  <c r="AA47"/>
  <c r="AA24"/>
  <c r="AA65"/>
  <c r="AA62"/>
  <c r="AA20"/>
  <c r="AA57"/>
  <c r="AA43"/>
  <c r="AA39"/>
  <c r="AA73"/>
  <c r="AA87"/>
  <c r="AA67"/>
  <c r="AA53"/>
  <c r="AA50"/>
  <c r="AA25"/>
  <c r="AA55"/>
  <c r="AA41"/>
  <c r="AA32"/>
  <c r="AA28"/>
  <c r="AA31"/>
  <c r="AA49"/>
  <c r="AA15"/>
  <c r="AA11"/>
  <c r="AA72"/>
  <c r="AA60"/>
  <c r="AA48"/>
  <c r="AA12"/>
  <c r="AA10"/>
  <c r="AA33"/>
  <c r="AA18"/>
  <c r="AA26"/>
  <c r="AA89"/>
  <c r="AA101"/>
  <c r="AA88"/>
  <c r="AA100"/>
  <c r="AA79"/>
  <c r="AA93"/>
  <c r="AA63"/>
  <c r="AA38"/>
  <c r="AA92"/>
  <c r="AA45"/>
  <c r="AA64"/>
  <c r="AA84"/>
  <c r="AA40"/>
  <c r="AA68"/>
  <c r="AA59"/>
  <c r="AA30"/>
  <c r="AA42"/>
  <c r="AA37"/>
  <c r="AA21"/>
  <c r="AA14"/>
  <c r="AA36"/>
  <c r="AA17"/>
  <c r="AA35"/>
  <c r="AA22"/>
  <c r="AA99"/>
  <c r="AA95"/>
  <c r="AA66"/>
  <c r="AA83"/>
  <c r="AA86"/>
  <c r="AA77"/>
  <c r="AA54"/>
  <c r="AA71"/>
  <c r="AA52"/>
  <c r="AA16"/>
  <c r="AA61"/>
  <c r="AA44"/>
  <c r="AA103"/>
  <c r="AA78"/>
  <c r="AA51"/>
  <c r="AA23"/>
  <c r="AA27"/>
  <c r="AA69"/>
  <c r="AA29"/>
  <c r="AB9"/>
  <c r="AA75"/>
  <c r="AA34"/>
  <c r="AA19"/>
  <c r="AA13"/>
  <c r="AB98" l="1"/>
  <c r="AB82"/>
  <c r="AB104"/>
  <c r="AB94"/>
  <c r="AB99"/>
  <c r="AB85"/>
  <c r="AB67"/>
  <c r="AB83"/>
  <c r="AB72"/>
  <c r="AB86"/>
  <c r="AB96"/>
  <c r="AB74"/>
  <c r="AB91"/>
  <c r="AB47"/>
  <c r="AB102"/>
  <c r="AB71"/>
  <c r="AB81"/>
  <c r="AB70"/>
  <c r="AB42"/>
  <c r="AB25"/>
  <c r="AB95"/>
  <c r="AB63"/>
  <c r="AB46"/>
  <c r="AB90"/>
  <c r="AB101"/>
  <c r="AB92"/>
  <c r="AB59"/>
  <c r="AB88"/>
  <c r="AB97"/>
  <c r="AB87"/>
  <c r="AB75"/>
  <c r="AB79"/>
  <c r="AB76"/>
  <c r="AB100"/>
  <c r="AB39"/>
  <c r="AB80"/>
  <c r="AB49"/>
  <c r="AB17"/>
  <c r="AB57"/>
  <c r="AB40"/>
  <c r="AB89"/>
  <c r="AB68"/>
  <c r="AB34"/>
  <c r="AB29"/>
  <c r="AB64"/>
  <c r="AB61"/>
  <c r="AB55"/>
  <c r="AB41"/>
  <c r="AB20"/>
  <c r="AC9"/>
  <c r="AB37"/>
  <c r="AB50"/>
  <c r="AB21"/>
  <c r="AB48"/>
  <c r="AB38"/>
  <c r="AB51"/>
  <c r="AB84"/>
  <c r="AB93"/>
  <c r="AB35"/>
  <c r="AB44"/>
  <c r="AB77"/>
  <c r="AB32"/>
  <c r="AB62"/>
  <c r="AB52"/>
  <c r="AB13"/>
  <c r="AB54"/>
  <c r="AB26"/>
  <c r="AB24"/>
  <c r="AB53"/>
  <c r="AB30"/>
  <c r="AB28"/>
  <c r="AB19"/>
  <c r="AB56"/>
  <c r="AB10"/>
  <c r="AB22"/>
  <c r="AB15"/>
  <c r="AB60"/>
  <c r="AB73"/>
  <c r="AB66"/>
  <c r="AB103"/>
  <c r="AB45"/>
  <c r="AB65"/>
  <c r="AB58"/>
  <c r="AB27"/>
  <c r="AB43"/>
  <c r="AB23"/>
  <c r="AB33"/>
  <c r="AB31"/>
  <c r="AB36"/>
  <c r="AB16"/>
  <c r="AB69"/>
  <c r="AB78"/>
  <c r="AB12"/>
  <c r="AB18"/>
  <c r="AB14"/>
  <c r="AB11"/>
  <c r="AC99" l="1"/>
  <c r="AC83"/>
  <c r="AC101"/>
  <c r="AC103"/>
  <c r="AC97"/>
  <c r="AC68"/>
  <c r="AC88"/>
  <c r="AC82"/>
  <c r="AC74"/>
  <c r="AC89"/>
  <c r="AC78"/>
  <c r="AC72"/>
  <c r="AC58"/>
  <c r="AC40"/>
  <c r="AC80"/>
  <c r="AC73"/>
  <c r="AC102"/>
  <c r="AC93"/>
  <c r="AC54"/>
  <c r="AC18"/>
  <c r="AC77"/>
  <c r="AC39"/>
  <c r="AC37"/>
  <c r="AC35"/>
  <c r="AC75"/>
  <c r="AC66"/>
  <c r="AC57"/>
  <c r="AC46"/>
  <c r="AC43"/>
  <c r="AC29"/>
  <c r="AC50"/>
  <c r="AC24"/>
  <c r="AC67"/>
  <c r="AC62"/>
  <c r="AC51"/>
  <c r="AC19"/>
  <c r="AC28"/>
  <c r="AC85"/>
  <c r="AC23"/>
  <c r="AD9"/>
  <c r="AC55"/>
  <c r="AC59"/>
  <c r="AC49"/>
  <c r="AC14"/>
  <c r="AC16"/>
  <c r="AC30"/>
  <c r="AC20"/>
  <c r="AC12"/>
  <c r="AC91"/>
  <c r="AC104"/>
  <c r="AC84"/>
  <c r="AC96"/>
  <c r="AC76"/>
  <c r="AC60"/>
  <c r="AC86"/>
  <c r="AC94"/>
  <c r="AC95"/>
  <c r="AC81"/>
  <c r="AC79"/>
  <c r="AC65"/>
  <c r="AC48"/>
  <c r="AC32"/>
  <c r="AC92"/>
  <c r="AC69"/>
  <c r="AC98"/>
  <c r="AC71"/>
  <c r="AC26"/>
  <c r="AC10"/>
  <c r="AC45"/>
  <c r="AC34"/>
  <c r="AC36"/>
  <c r="AC33"/>
  <c r="AC56"/>
  <c r="AC63"/>
  <c r="AC47"/>
  <c r="AC44"/>
  <c r="AC42"/>
  <c r="AC22"/>
  <c r="AC38"/>
  <c r="AC100"/>
  <c r="AC64"/>
  <c r="AC61"/>
  <c r="AC31"/>
  <c r="AC41"/>
  <c r="AC87"/>
  <c r="AC25"/>
  <c r="AC21"/>
  <c r="AC90"/>
  <c r="AC27"/>
  <c r="AC70"/>
  <c r="AC52"/>
  <c r="AC13"/>
  <c r="AC53"/>
  <c r="AC17"/>
  <c r="AC15"/>
  <c r="AC11"/>
  <c r="AD100" l="1"/>
  <c r="AD84"/>
  <c r="AD96"/>
  <c r="AD89"/>
  <c r="AD104"/>
  <c r="AD94"/>
  <c r="AD77"/>
  <c r="AD61"/>
  <c r="AD74"/>
  <c r="AD81"/>
  <c r="AD102"/>
  <c r="AD88"/>
  <c r="AD83"/>
  <c r="AD67"/>
  <c r="AD55"/>
  <c r="AD41"/>
  <c r="AD79"/>
  <c r="AD97"/>
  <c r="AD85"/>
  <c r="AD68"/>
  <c r="AD51"/>
  <c r="AD37"/>
  <c r="AD27"/>
  <c r="AD11"/>
  <c r="AD35"/>
  <c r="AD38"/>
  <c r="AD26"/>
  <c r="AD40"/>
  <c r="AD34"/>
  <c r="AD22"/>
  <c r="AD10"/>
  <c r="AD24"/>
  <c r="AD59"/>
  <c r="AD18"/>
  <c r="AD46"/>
  <c r="AD66"/>
  <c r="AD63"/>
  <c r="AD12"/>
  <c r="AD50"/>
  <c r="AD23"/>
  <c r="AD54"/>
  <c r="AD93"/>
  <c r="AD70"/>
  <c r="AD14"/>
  <c r="AD30"/>
  <c r="AD13"/>
  <c r="AD28"/>
  <c r="AD16"/>
  <c r="AD92"/>
  <c r="AD103"/>
  <c r="AD91"/>
  <c r="AD98"/>
  <c r="AD101"/>
  <c r="AD87"/>
  <c r="AD69"/>
  <c r="AD76"/>
  <c r="AD95"/>
  <c r="AD78"/>
  <c r="AD99"/>
  <c r="AD86"/>
  <c r="AD82"/>
  <c r="AD62"/>
  <c r="AD49"/>
  <c r="AD33"/>
  <c r="AD73"/>
  <c r="AD90"/>
  <c r="AD75"/>
  <c r="AD80"/>
  <c r="AD44"/>
  <c r="AD32"/>
  <c r="AD19"/>
  <c r="AD36"/>
  <c r="AD56"/>
  <c r="AD31"/>
  <c r="AD45"/>
  <c r="AD39"/>
  <c r="AD29"/>
  <c r="AD15"/>
  <c r="AD43"/>
  <c r="AE9"/>
  <c r="AD47"/>
  <c r="AD64"/>
  <c r="AD48"/>
  <c r="AD65"/>
  <c r="AD60"/>
  <c r="AD72"/>
  <c r="AD25"/>
  <c r="AD21"/>
  <c r="AD17"/>
  <c r="AD52"/>
  <c r="AD58"/>
  <c r="AD57"/>
  <c r="AD71"/>
  <c r="AD42"/>
  <c r="AD20"/>
  <c r="AD53"/>
  <c r="AE104" l="1"/>
  <c r="AE93"/>
  <c r="AE103"/>
  <c r="AE98"/>
  <c r="AE100"/>
  <c r="AE78"/>
  <c r="AE62"/>
  <c r="AE94"/>
  <c r="AE71"/>
  <c r="AE89"/>
  <c r="AE92"/>
  <c r="AE76"/>
  <c r="AE69"/>
  <c r="AE42"/>
  <c r="AE83"/>
  <c r="AE90"/>
  <c r="AE68"/>
  <c r="AE87"/>
  <c r="AE99"/>
  <c r="AE79"/>
  <c r="AE39"/>
  <c r="AE20"/>
  <c r="AE33"/>
  <c r="AE77"/>
  <c r="AE35"/>
  <c r="AE56"/>
  <c r="AE37"/>
  <c r="AE26"/>
  <c r="AF9"/>
  <c r="AE67"/>
  <c r="AE65"/>
  <c r="AE61"/>
  <c r="AE51"/>
  <c r="AE52"/>
  <c r="AE22"/>
  <c r="AE58"/>
  <c r="AE59"/>
  <c r="AE48"/>
  <c r="AE40"/>
  <c r="AE18"/>
  <c r="AE43"/>
  <c r="AE44"/>
  <c r="AE30"/>
  <c r="AE29"/>
  <c r="AE11"/>
  <c r="AE45"/>
  <c r="AE16"/>
  <c r="AE15"/>
  <c r="AE101"/>
  <c r="AE85"/>
  <c r="AE96"/>
  <c r="AE86"/>
  <c r="AE82"/>
  <c r="AE70"/>
  <c r="AE95"/>
  <c r="AE81"/>
  <c r="AE102"/>
  <c r="AE84"/>
  <c r="AE80"/>
  <c r="AE74"/>
  <c r="AE50"/>
  <c r="AE34"/>
  <c r="AE97"/>
  <c r="AE75"/>
  <c r="AE64"/>
  <c r="AE72"/>
  <c r="AE88"/>
  <c r="AE73"/>
  <c r="AE28"/>
  <c r="AE12"/>
  <c r="AE32"/>
  <c r="AE36"/>
  <c r="AE17"/>
  <c r="AE38"/>
  <c r="AE31"/>
  <c r="AE24"/>
  <c r="AE14"/>
  <c r="AE66"/>
  <c r="AE63"/>
  <c r="AE60"/>
  <c r="AE19"/>
  <c r="AE41"/>
  <c r="AE13"/>
  <c r="AE53"/>
  <c r="AE55"/>
  <c r="AE47"/>
  <c r="AE27"/>
  <c r="AE54"/>
  <c r="AE46"/>
  <c r="AE57"/>
  <c r="AE25"/>
  <c r="AE23"/>
  <c r="AE10"/>
  <c r="AE21"/>
  <c r="AE91"/>
  <c r="AE49"/>
  <c r="AF104" l="1"/>
  <c r="AF94"/>
  <c r="AF98"/>
  <c r="AF93"/>
  <c r="AF103"/>
  <c r="AF91"/>
  <c r="AF84"/>
  <c r="AF71"/>
  <c r="AF55"/>
  <c r="AF101"/>
  <c r="AF80"/>
  <c r="AF87"/>
  <c r="AF81"/>
  <c r="AF57"/>
  <c r="AF43"/>
  <c r="AF97"/>
  <c r="AF68"/>
  <c r="AF74"/>
  <c r="AF69"/>
  <c r="AF66"/>
  <c r="AF61"/>
  <c r="AF59"/>
  <c r="AF53"/>
  <c r="AF46"/>
  <c r="AF34"/>
  <c r="AF21"/>
  <c r="AF82"/>
  <c r="AF28"/>
  <c r="AF70"/>
  <c r="AF56"/>
  <c r="AF37"/>
  <c r="AF32"/>
  <c r="AF26"/>
  <c r="AF19"/>
  <c r="AF11"/>
  <c r="AF62"/>
  <c r="AF40"/>
  <c r="AF27"/>
  <c r="AF17"/>
  <c r="AF10"/>
  <c r="AF44"/>
  <c r="AF14"/>
  <c r="AF30"/>
  <c r="AF15"/>
  <c r="AF54"/>
  <c r="AF50"/>
  <c r="AF36"/>
  <c r="AF45"/>
  <c r="AF102"/>
  <c r="AF86"/>
  <c r="AF100"/>
  <c r="AF95"/>
  <c r="AF96"/>
  <c r="AF89"/>
  <c r="AF79"/>
  <c r="AF63"/>
  <c r="AF78"/>
  <c r="AF92"/>
  <c r="AF73"/>
  <c r="AF75"/>
  <c r="AF64"/>
  <c r="AF51"/>
  <c r="AF35"/>
  <c r="AF90"/>
  <c r="AF85"/>
  <c r="AF72"/>
  <c r="AF67"/>
  <c r="AF65"/>
  <c r="AF60"/>
  <c r="AF83"/>
  <c r="AF48"/>
  <c r="AF41"/>
  <c r="AF29"/>
  <c r="AF13"/>
  <c r="AF76"/>
  <c r="AF99"/>
  <c r="AF88"/>
  <c r="AF38"/>
  <c r="AF33"/>
  <c r="AF31"/>
  <c r="AF24"/>
  <c r="AF12"/>
  <c r="AF77"/>
  <c r="AF47"/>
  <c r="AF39"/>
  <c r="AF18"/>
  <c r="AF58"/>
  <c r="AF52"/>
  <c r="AF22"/>
  <c r="AG9"/>
  <c r="AF16"/>
  <c r="AF49"/>
  <c r="AF23"/>
  <c r="AF42"/>
  <c r="AF25"/>
  <c r="AF20"/>
  <c r="AG104" l="1"/>
  <c r="AG95"/>
  <c r="AG100"/>
  <c r="AG83"/>
  <c r="AG98"/>
  <c r="AG72"/>
  <c r="AG56"/>
  <c r="AG92"/>
  <c r="AG84"/>
  <c r="AG96"/>
  <c r="AG97"/>
  <c r="AG77"/>
  <c r="AG78"/>
  <c r="AG59"/>
  <c r="AG44"/>
  <c r="AG85"/>
  <c r="AG69"/>
  <c r="AG66"/>
  <c r="AG61"/>
  <c r="AG81"/>
  <c r="AG62"/>
  <c r="AG57"/>
  <c r="AG68"/>
  <c r="AG22"/>
  <c r="AG28"/>
  <c r="AG70"/>
  <c r="AG53"/>
  <c r="AG49"/>
  <c r="AG82"/>
  <c r="AG47"/>
  <c r="AG19"/>
  <c r="AG15"/>
  <c r="AG11"/>
  <c r="AG55"/>
  <c r="AG17"/>
  <c r="AG45"/>
  <c r="AG41"/>
  <c r="AG26"/>
  <c r="AG13"/>
  <c r="AG46"/>
  <c r="AG24"/>
  <c r="AG39"/>
  <c r="AG27"/>
  <c r="AG86"/>
  <c r="AG42"/>
  <c r="AG29"/>
  <c r="AH9"/>
  <c r="AG23"/>
  <c r="AG103"/>
  <c r="AG87"/>
  <c r="AG88"/>
  <c r="AG102"/>
  <c r="AG80"/>
  <c r="AG64"/>
  <c r="AG101"/>
  <c r="AG89"/>
  <c r="AG73"/>
  <c r="AG75"/>
  <c r="AG90"/>
  <c r="AG94"/>
  <c r="AG71"/>
  <c r="AG52"/>
  <c r="AG36"/>
  <c r="AG74"/>
  <c r="AG67"/>
  <c r="AG65"/>
  <c r="AG60"/>
  <c r="AG63"/>
  <c r="AG58"/>
  <c r="AG76"/>
  <c r="AG30"/>
  <c r="AG14"/>
  <c r="AG99"/>
  <c r="AG54"/>
  <c r="AG50"/>
  <c r="AG48"/>
  <c r="AG21"/>
  <c r="AG40"/>
  <c r="AG18"/>
  <c r="AG12"/>
  <c r="AG79"/>
  <c r="AG31"/>
  <c r="AG10"/>
  <c r="AG34"/>
  <c r="AG32"/>
  <c r="AG16"/>
  <c r="AG33"/>
  <c r="AG37"/>
  <c r="AG51"/>
  <c r="AG38"/>
  <c r="AG93"/>
  <c r="AG20"/>
  <c r="AG43"/>
  <c r="AG91"/>
  <c r="AG35"/>
  <c r="AG25"/>
  <c r="AH104" l="1"/>
  <c r="AH88"/>
  <c r="AH95"/>
  <c r="AH99"/>
  <c r="AH100"/>
  <c r="AH86"/>
  <c r="AH65"/>
  <c r="AH80"/>
  <c r="AH87"/>
  <c r="AH103"/>
  <c r="AH101"/>
  <c r="AH89"/>
  <c r="AH68"/>
  <c r="AH61"/>
  <c r="AH45"/>
  <c r="AH81"/>
  <c r="AH64"/>
  <c r="AH62"/>
  <c r="AH58"/>
  <c r="AH94"/>
  <c r="AH74"/>
  <c r="AH67"/>
  <c r="AH50"/>
  <c r="AH36"/>
  <c r="AH23"/>
  <c r="AH54"/>
  <c r="AH48"/>
  <c r="AH25"/>
  <c r="AH52"/>
  <c r="AH47"/>
  <c r="AH28"/>
  <c r="AH14"/>
  <c r="AH17"/>
  <c r="AH41"/>
  <c r="AH26"/>
  <c r="AH16"/>
  <c r="AH11"/>
  <c r="AH35"/>
  <c r="AH33"/>
  <c r="AH40"/>
  <c r="AH38"/>
  <c r="AH19"/>
  <c r="AH98"/>
  <c r="AH12"/>
  <c r="AH42"/>
  <c r="AH56"/>
  <c r="AH71"/>
  <c r="AH24"/>
  <c r="AH96"/>
  <c r="AH102"/>
  <c r="AH90"/>
  <c r="AH97"/>
  <c r="AH93"/>
  <c r="AH73"/>
  <c r="AH57"/>
  <c r="AH75"/>
  <c r="AH77"/>
  <c r="AH85"/>
  <c r="AH92"/>
  <c r="AH84"/>
  <c r="AH66"/>
  <c r="AH53"/>
  <c r="AH37"/>
  <c r="AH72"/>
  <c r="AH63"/>
  <c r="AH59"/>
  <c r="AH76"/>
  <c r="AH70"/>
  <c r="AH69"/>
  <c r="AH60"/>
  <c r="AH43"/>
  <c r="AH31"/>
  <c r="AH15"/>
  <c r="AH49"/>
  <c r="AH30"/>
  <c r="AH91"/>
  <c r="AH51"/>
  <c r="AH83"/>
  <c r="AH21"/>
  <c r="AH79"/>
  <c r="AH44"/>
  <c r="AH32"/>
  <c r="AH22"/>
  <c r="AH13"/>
  <c r="AH34"/>
  <c r="AH29"/>
  <c r="AH20"/>
  <c r="AH39"/>
  <c r="AH27"/>
  <c r="AH18"/>
  <c r="AH55"/>
  <c r="AH10"/>
  <c r="AH78"/>
  <c r="AH46"/>
  <c r="AH82"/>
</calcChain>
</file>

<file path=xl/sharedStrings.xml><?xml version="1.0" encoding="utf-8"?>
<sst xmlns="http://schemas.openxmlformats.org/spreadsheetml/2006/main" count="3558" uniqueCount="474">
  <si>
    <t>[2.1] + [2.2]</t>
  </si>
  <si>
    <t>[9.6] - [9.7]</t>
  </si>
  <si>
    <t>[4.1] + [4.2] + [4.3] + [4.4]</t>
  </si>
  <si>
    <t>([2.1.1] + [2.1.3.1] + [5.1] ) / [1]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</si>
  <si>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</si>
  <si>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>[9.6] - [9.7.1]</t>
  </si>
  <si>
    <t>([6] - [6.1]) / [1]</t>
  </si>
  <si>
    <t xml:space="preserve">   Dopuszczalny wskaźnik spłaty zobowiązań określony w art. 243 ustawy, po uwzględnieniu wyłączeń określonych w art.  36 ustawy z dnia 7 grudnia 2012 r. o zmianie niektórych ustaw w związku z realizacją ustawy budżetowej, obliczony w oparciu o wykonanie roku poprzedzającego rok budżetowy</t>
  </si>
  <si>
    <t>[1.1] - [2.1]</t>
  </si>
  <si>
    <t xml:space="preserve"> Dopuszczalny wskaźnik spłaty zobowiązań określony w art. 243 ustawy, po uwzględnieniu wyłączeń określonych w art. 36 ustawy z dnia 7 grudnia 2012 r. o zmianie niektórych ustaw w związku z realizacją ustawy budżetowej, obliczony w oparciu o plan 3 kwartałów roku poprzedzającego rok budżetowy</t>
  </si>
  <si>
    <t>[1] -[2]</t>
  </si>
  <si>
    <t>[1.1] + [4.1] + [4.2] - (  [2.1] - [2.1.2]  )</t>
  </si>
  <si>
    <t>( [1.1] -  ( [2.1]  - [2.1.2] ) + [1.2.1] ) / [1]</t>
  </si>
  <si>
    <t>WIELOLETNIA PROGNOZA FINANSOWA GMINY MIASTO BRZEZINY NA LATA 2013-2023</t>
  </si>
  <si>
    <t>PRZEWODNICZĄCY RADY</t>
  </si>
  <si>
    <t>Zbigniew Bączyński</t>
  </si>
  <si>
    <t>Załącznik nr 1 do Uchwały Nr XLIII/203/2013                       Rady Miasta Brzeziny z 31 października 2013 r.</t>
  </si>
  <si>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</si>
  <si>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</si>
  <si>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</si>
  <si>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</si>
  <si>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</si>
  <si>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</si>
  <si>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</si>
  <si>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</si>
  <si>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</si>
  <si>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</si>
  <si>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</si>
  <si>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</si>
  <si>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</si>
  <si>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</si>
  <si>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</si>
  <si>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</si>
  <si>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</si>
  <si>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</si>
  <si>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</si>
  <si>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</si>
  <si>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</si>
  <si>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</si>
  <si>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</si>
  <si>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</si>
  <si>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</si>
  <si>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Dochody majątkowe, w tym:</t>
  </si>
  <si>
    <t>ze sprzedaży majątku</t>
  </si>
  <si>
    <t>x</t>
  </si>
  <si>
    <t>Dochody ogółem = bieżące + majątkowe</t>
  </si>
  <si>
    <t>Wydatki ogółem = bieżące + majątkowe</t>
  </si>
  <si>
    <t>Analiza ryzyka niespełnienia wskaźnika z art. 243</t>
  </si>
  <si>
    <t>dochody ze sprzedaży majątku</t>
  </si>
  <si>
    <t>wydatki bieżące ogółem</t>
  </si>
  <si>
    <t>wydatki bieżące na wynagrodzenia i składki od nich naliczane</t>
  </si>
  <si>
    <t>wydatki bieżące ogółem bez wydatków na projekty współfinansowane środkami UE</t>
  </si>
  <si>
    <t>Analiza składowych wzoru wskaźnika z art. 243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</si>
  <si>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</si>
  <si>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</si>
  <si>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</si>
  <si>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</si>
  <si>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</si>
  <si>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</si>
  <si>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</si>
  <si>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</si>
  <si>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</si>
  <si>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</si>
  <si>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</si>
  <si>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</si>
  <si>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</si>
  <si>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</si>
  <si>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</si>
  <si>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</si>
  <si>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</si>
  <si>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</si>
  <si>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</si>
  <si>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</si>
  <si>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</si>
  <si>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</si>
  <si>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</si>
  <si>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</si>
  <si>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</si>
  <si>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>2.1.3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</si>
  <si>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</si>
  <si>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</si>
  <si>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</si>
  <si>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</si>
  <si>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</si>
  <si>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</si>
  <si>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</si>
  <si>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</si>
  <si>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</si>
  <si>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</si>
  <si>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</si>
  <si>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</si>
  <si>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</si>
  <si>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</si>
  <si>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</si>
  <si>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</si>
  <si>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</si>
  <si>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</si>
  <si>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</si>
  <si>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</si>
  <si>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</si>
  <si>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 xml:space="preserve"> Łączna kwota wyłączeń z ograniczeń długu określonych w art. 170 ust. 3 ufp z 2005 r. oraz w art.  36 ustawy o zmianie niektórych ustaw związanych z realizacją ustawy budżetowej, w tym: </t>
  </si>
  <si>
    <t>6.1.1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</si>
  <si>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</si>
  <si>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</si>
  <si>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</si>
  <si>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</si>
  <si>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</si>
  <si>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</si>
  <si>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</si>
  <si>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</si>
  <si>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</si>
  <si>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</si>
  <si>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</si>
  <si>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9.6.1</t>
  </si>
  <si>
    <t xml:space="preserve"> Wskaźnik jednoroczny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</si>
  <si>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</si>
  <si>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>9.7.1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</si>
  <si>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</si>
  <si>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</si>
  <si>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9.8.1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</si>
  <si>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</si>
  <si>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</si>
  <si>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</si>
  <si>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</si>
  <si>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</si>
  <si>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</si>
  <si>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</si>
  <si>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</si>
  <si>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</si>
  <si>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</si>
  <si>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</si>
  <si>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</si>
  <si>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</si>
  <si>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</si>
  <si>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</si>
  <si>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</si>
  <si>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</si>
  <si>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</si>
  <si>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</si>
  <si>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</si>
  <si>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</si>
  <si>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</si>
  <si>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</si>
  <si>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</si>
  <si>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</si>
  <si>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</si>
  <si>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</si>
  <si>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</si>
  <si>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</si>
  <si>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</si>
  <si>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</si>
  <si>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</si>
  <si>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</si>
  <si>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</si>
  <si>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</si>
  <si>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</si>
  <si>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</si>
  <si>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</si>
  <si>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</si>
  <si>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</si>
  <si>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</si>
  <si>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</si>
  <si>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</si>
  <si>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</si>
  <si>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</si>
  <si>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</si>
  <si>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</si>
  <si>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</si>
  <si>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</si>
  <si>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</si>
  <si>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 xml:space="preserve">  związane z umowami zaliczanymi do tytułów dłużnych wliczanych w państwowy dług publiczny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</si>
  <si>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</si>
  <si>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</si>
  <si>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</si>
  <si>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</si>
  <si>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</si>
  <si>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</si>
  <si>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</si>
  <si>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</si>
  <si>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</si>
  <si>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</si>
  <si>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</si>
  <si>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</si>
  <si>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</si>
  <si>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</si>
  <si>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</si>
  <si>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</si>
  <si>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</si>
  <si>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</si>
  <si>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</si>
  <si>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</si>
  <si>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</si>
  <si>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</si>
  <si>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</si>
  <si>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</si>
  <si>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</si>
  <si>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</si>
  <si>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</si>
  <si>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</si>
  <si>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</si>
  <si>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</si>
  <si>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</si>
  <si>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</si>
  <si>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</si>
  <si>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</si>
  <si>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</si>
  <si>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</si>
  <si>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</si>
  <si>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</si>
  <si>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</si>
  <si>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</si>
  <si>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</si>
  <si>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</si>
  <si>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</si>
  <si>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</si>
  <si>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</si>
  <si>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</si>
  <si>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</si>
  <si>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</si>
  <si>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</si>
  <si>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</si>
  <si>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</si>
  <si>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</si>
  <si>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</si>
  <si>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</si>
  <si>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</si>
  <si>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</si>
  <si>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</si>
  <si>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</si>
  <si>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</si>
  <si>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podatki i opłaty, w tym:</t>
  </si>
  <si>
    <t>z tytułu dotacji oraz środków przeznaczonych na inwestycje</t>
  </si>
  <si>
    <t>Wydatki bieżące, w tym:</t>
  </si>
  <si>
    <t>z tytułu poręczeń i gwarancji, w tym:</t>
  </si>
  <si>
    <t>wydatki na obsługę długu, w tym:</t>
  </si>
  <si>
    <t>odsetki i dyskonto określone w art. 243 ust. 1 ustawy lub art. 169 ust. 1 ufp z 2005 r..</t>
  </si>
  <si>
    <t>Dochody bieżące, w tym:</t>
  </si>
  <si>
    <t>Nadwyżka budżetowa z lat ubiegłych, w tym:</t>
  </si>
  <si>
    <t>na pokrycie deficytu budżetu</t>
  </si>
  <si>
    <t>Wolne środki, o których mowa w art. 217 ust.2 pkt 6 ustawy, w tym:</t>
  </si>
  <si>
    <t>Kredyty, pożyczki, emisja papierów wartościowych, w tym:</t>
  </si>
  <si>
    <t>Inne przychody niezwiązane z zaciągnięciem długu, w tym:</t>
  </si>
  <si>
    <t>Spłaty rat kapitałowych kredytów i pożyczek oraz wykup papierów wartościowych, w tym:</t>
  </si>
  <si>
    <t>kwota przypadających na dany rok kwot wyłączeń określonych w art. 243 ust. 3 pkt 1 ustawy lub art. 169 ust. 3 pkt 1 ufp z 2005 r.</t>
  </si>
  <si>
    <t>Inne rozchody niezwiązane ze spłatą długu</t>
  </si>
  <si>
    <t xml:space="preserve">Wskaźnik planowanej łącznej kwoty spłaty zobowiązań, o której mowa w art. 169 ust. 1 ufp z 2005 r. do dochodów ogółem, po uwzględnieniu wyłączeń przypadających na dany rok określonych w pkt 5.1.1. </t>
  </si>
  <si>
    <t xml:space="preserve">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</si>
  <si>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>Wskaźnik planowanej łącznej kwoty spłaty zobowiązań, o której mowa w art. 243 ust. 1 ustawy do dochodów ogółem, bez uwzględnienia zobowiązań związku współtworzonego przez jednostkę samorządu terytorialnego i bez uwzględniania wyłączeń przypadających na dany rok określonych w pkt 5.1.1.</t>
  </si>
  <si>
    <t xml:space="preserve">Kwota zobowiązań związku współtworzonego przez jednostkę samorządu terytorialnego przypadających do spłaty w danym roku budżetowym, podlegająca doliczeniu zgodnie z art. 244 ustawy 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</si>
  <si>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</si>
  <si>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</si>
  <si>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</si>
  <si>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Przeznaczenie prognozowanej nadwyżki budżetowej, w tym na: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</si>
  <si>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</si>
  <si>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</si>
  <si>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</si>
  <si>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</si>
  <si>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</si>
  <si>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>Wydatki objęte limitem art. 226 ust. 3 ustawy, z tego:</t>
  </si>
  <si>
    <t xml:space="preserve">Wydatki inwestycyjne kontynuowane </t>
  </si>
  <si>
    <t>Nowe wydatki inwestycyjne</t>
  </si>
  <si>
    <t xml:space="preserve">Wydatki majątkowe w formie dotacji </t>
  </si>
  <si>
    <t>środki określone w art. 5 ust. 1 pkt 2 ustawy, w tym:</t>
  </si>
  <si>
    <t>środki określone w art. 5 ust. 1 pkt 2 ustawy wynikające wyłącznie z zawartych umów na realizację programu, projektu lub zadania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</si>
  <si>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</si>
  <si>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</si>
  <si>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 xml:space="preserve">w tym finansowane środkami określonymi w art. 5 ust. 1 pkt 2 ustawy </t>
  </si>
  <si>
    <t>Wydatki majątkowe na programy, projekty lub zadania finansowane z udziałem środków, o których mowa w art. 5 ust. 1 pkt 2 i 3 ustawy</t>
  </si>
  <si>
    <t>w tym finansowane środkami określonymi w art. 5 ust. 1 pkt 2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</si>
  <si>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</si>
  <si>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</si>
  <si>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</si>
  <si>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</si>
  <si>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</si>
  <si>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</si>
  <si>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</si>
  <si>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</si>
  <si>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Wydatki zmniejszające dług, w tym:</t>
  </si>
  <si>
    <t>związane z umowami zaliczanymi do tytułów dłużnych wliczanych w państwowy dług publiczny</t>
  </si>
  <si>
    <t>wypłaty z tytułu wymagalnych poręczeń i gwarancji</t>
  </si>
  <si>
    <t>Wynik operacji niekasowych wpływających na kwotę długu (m.in. umorzenia, różnice kursowe)</t>
  </si>
  <si>
    <t>Rok max</t>
  </si>
  <si>
    <t>Różnica między dochodami bieżącymi a wydatkami bieżącymi</t>
  </si>
  <si>
    <t>Kwota zobowiązań wynikających z przejęcia przez jednostkę samorządu terytorialnego zobowiązań po likwidowanych i przekształcanych jednostkach zaliczanych do sektora finansów publicznych</t>
  </si>
  <si>
    <t>Spełnienie wskaźnika z art. 169 suofp (bez wyłączeń)</t>
  </si>
  <si>
    <t>Spełnienie wskaźnika z art. 169 suofp (z wyłączeniami)</t>
  </si>
  <si>
    <t>Spełnienie wskaźnika z art. 170 suofp (z wyłączeniami)</t>
  </si>
  <si>
    <t>[13.3] = 0 (dla lat 2014 i wyższych)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</si>
  <si>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</si>
  <si>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</si>
  <si>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</si>
  <si>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</si>
  <si>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[1.1.3] &gt;=  [1.1.3.1]</t>
  </si>
  <si>
    <t>[1.1.5] &gt;= [13.2]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</si>
  <si>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</si>
  <si>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</si>
  <si>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</si>
  <si>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</si>
  <si>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</si>
  <si>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</si>
  <si>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</si>
  <si>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</si>
  <si>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</si>
  <si>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</si>
  <si>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</si>
  <si>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</si>
  <si>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</si>
  <si>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</si>
  <si>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</si>
  <si>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[13.4] &gt;= [2.1.2]</t>
  </si>
  <si>
    <t>[14.3] &gt;= [14.3.1] + [14.3.2] + [14.3.3]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</si>
  <si>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</si>
  <si>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</si>
  <si>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</si>
  <si>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</si>
  <si>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</si>
  <si>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</si>
  <si>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</si>
  <si>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</si>
  <si>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</si>
  <si>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</si>
  <si>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</si>
  <si>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</si>
  <si>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</si>
  <si>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</si>
  <si>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</si>
  <si>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</si>
  <si>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[5.1.1] &gt;= [5.1.1.1]</t>
  </si>
  <si>
    <t>[5.1] &gt;= [10.1]</t>
  </si>
  <si>
    <t>[5.1] &gt;= [14.1]</t>
  </si>
  <si>
    <t>[5.1] &gt;= [5.1.1]</t>
  </si>
  <si>
    <t>[6.1] &gt;= [6.1.1]</t>
  </si>
  <si>
    <t>[6] &gt;= [14.2]</t>
  </si>
  <si>
    <t>[6] &gt;= [6.1]</t>
  </si>
  <si>
    <t>[6] &gt;=[7]</t>
  </si>
  <si>
    <t>7&gt;=13.1</t>
  </si>
  <si>
    <t xml:space="preserve">jeżeli [2.1.3] &lt;&gt; 0 to  [2.1.3.1] &lt;&gt; 0 </t>
  </si>
  <si>
    <t>Spełnienie wskaźnika z art. 242</t>
  </si>
  <si>
    <t>Kontrola poprawności zbilansowania budżetu</t>
  </si>
  <si>
    <t>Kontrola poprawności wyliczenia kwoty długu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</si>
  <si>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</si>
  <si>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</si>
  <si>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</si>
  <si>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[1.1.3] &gt;=  [1.1.3.1]</t>
  </si>
  <si>
    <t>Reguła logiczna:  [1.1.5] &gt;= [13.2]</t>
  </si>
  <si>
    <t>Reguła logiczna:  [1.1] &gt;=  ([1.1.1] + [1.1.2] + [1.1.3] + [1.1.4] + [1.1.5])</t>
  </si>
  <si>
    <t>Reguła logiczna:  [1.1] &gt;= [12.1]</t>
  </si>
  <si>
    <t>Reguła logiczna:  [1.2] &gt;= [1.2.1]</t>
  </si>
  <si>
    <t>Reguła logiczna:  [1.2] &gt;= [1.2.2]</t>
  </si>
  <si>
    <t>Reguła logiczna:  [1.2] &gt;= [12.2]</t>
  </si>
  <si>
    <t>Reguła logiczna:  [10] &gt;= [10.1]</t>
  </si>
  <si>
    <t>Reguła logiczna:  [12.1.1] &gt;= [12.1.1.1]</t>
  </si>
  <si>
    <t>Reguła logiczna:  [12.1] &gt;= [12.1.1]</t>
  </si>
  <si>
    <t>Reguła logiczna:  [12.2.1] &gt;= [12.2.1.1]</t>
  </si>
  <si>
    <t>Reguła logiczna:  [12.2] &gt;= [12.2.1]</t>
  </si>
  <si>
    <t>Reguła logiczna:  [12.3] &gt;= [12.3.1]</t>
  </si>
  <si>
    <t>Reguła logiczna:  [12.3] &gt;= [12.3.2]</t>
  </si>
  <si>
    <t>Reguła logiczna:  [12.4] &gt;= [12.4.1]</t>
  </si>
  <si>
    <t>Reguła logiczna:  [12.4] &gt;= [12.4.2]</t>
  </si>
  <si>
    <t>Reguła logiczna:  [13.1] &gt;= [13.3]</t>
  </si>
  <si>
    <t>Reguła logiczna:  [13.4] &gt;= [2.1.2]</t>
  </si>
  <si>
    <t>Reguła logiczna:  [14.3] &gt;= [14.3.1] + [14.3.2] + [14.3.3]</t>
  </si>
  <si>
    <t>Reguła logiczna:  [2.1.1] &gt;= [14.3.3]</t>
  </si>
  <si>
    <t>Reguła logiczna:  [2.1.1] &gt;= [2.1.1.1]</t>
  </si>
  <si>
    <t xml:space="preserve">Reguła logiczna:  [2.1.3] &gt;= [2.1.3.1] </t>
  </si>
  <si>
    <t>Reguła logiczna:  [2.1] &gt;= ([2.1.1] + [2.1.2] + [2.1.3])</t>
  </si>
  <si>
    <t>Reguła logiczna:  [2.1] &gt;= [11.1]</t>
  </si>
  <si>
    <t>Reguła logiczna:  [2.1] &gt;= [11.3.1]</t>
  </si>
  <si>
    <t>Reguła logiczna:  [2.1] &gt;= [12.3]</t>
  </si>
  <si>
    <t>Reguła logiczna:  [2.1] &gt;= [13.7]</t>
  </si>
  <si>
    <t>Reguła logiczna:  [2.2] &gt;= [11.3.2]</t>
  </si>
  <si>
    <t>Reguła logiczna:  [2.2] &gt;= [11.4] + [11.5]</t>
  </si>
  <si>
    <t>Reguła logiczna:  [2.2] &gt;= [11.6]</t>
  </si>
  <si>
    <t>Reguła logiczna:  [2.2] &gt;= [12.4]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</si>
  <si>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</si>
  <si>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</si>
  <si>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</si>
  <si>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</si>
  <si>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[5.1.1] &gt;= [5.1.1.1]</t>
  </si>
  <si>
    <t>Reguła logiczna:  [5.1] &gt;= [10.1]</t>
  </si>
  <si>
    <t>Reguła logiczna:  [5.1] &gt;= [14.1]</t>
  </si>
  <si>
    <t>Reguła logiczna:  [5.1] &gt;= [5.1.1]</t>
  </si>
  <si>
    <t>Reguła logiczna:  [6.1] &gt;= [6.1.1]</t>
  </si>
  <si>
    <t>Reguła logiczna:  [6] &gt;= [14.2]</t>
  </si>
  <si>
    <t>Reguła logiczna:  [6] &gt;= [6.1]</t>
  </si>
  <si>
    <t>Reguła logiczna:  [6] &gt;=[7]</t>
  </si>
  <si>
    <t>Reguła logiczna:  7&gt;=13.1</t>
  </si>
  <si>
    <t xml:space="preserve">Reguła logiczna:  jeżeli [2.1.3] &lt;&gt; 0 to  [2.1.3.1] &lt;&gt; 0 </t>
  </si>
  <si>
    <t>Weryfikacja danych wykazanych w tabeli Wieloletnia Prognoza Finansowa</t>
  </si>
  <si>
    <t>Reguła formalna</t>
  </si>
  <si>
    <t>Reguła rachunkowa</t>
  </si>
  <si>
    <t>Spełnienie wskaźnika z art. 170 suofp (bez wyłączeń)</t>
  </si>
  <si>
    <t>Wynik budżetu = dochody ogółem - wydatki ogółem</t>
  </si>
  <si>
    <t>Wyliczenie kwoty długu</t>
  </si>
  <si>
    <t>pozostałe wydatki bieżące (wydatki bieżące bez wynagrodzeń i pochodnych oraz wydatków związanych z funkcjonowaniem organów jst, wydatków na obsługę długu  oraz poręczeń i gwarancji)</t>
  </si>
  <si>
    <t>wydatki ogółem bez wydatków na projekty finansowane i współfinansowane środkami UE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</si>
  <si>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</si>
  <si>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</si>
  <si>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</si>
  <si>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</si>
  <si>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Umorzenie zobowiązań, o którym mowa w art. 190 ustawy o działalności leczniczej nie wykracza poza ustawowy okres</t>
  </si>
  <si>
    <t>-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</si>
  <si>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</si>
  <si>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</si>
  <si>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</si>
  <si>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</si>
  <si>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 xml:space="preserve">kwota wyłączeń z ograniczeń długu określonych w art. 170 ust. 3 ufp z 2005 r. </t>
  </si>
  <si>
    <t>Plan 3 kw.</t>
  </si>
  <si>
    <t xml:space="preserve">Wykonanie </t>
  </si>
  <si>
    <t>DYNAMIKA podstawowych wielkości z prognozy</t>
  </si>
  <si>
    <t>WIELKOŚĆ ZMIAN w podstawowych kwotach prognozy</t>
  </si>
  <si>
    <t xml:space="preserve">DYNAMIKA kwot ujętych w WPF </t>
  </si>
  <si>
    <t>PODSTAWOWE wielkości ujęte w prognozie</t>
  </si>
  <si>
    <t>Kontrola poprawności podstawowych kwot</t>
  </si>
  <si>
    <t>Reguły kontrolne</t>
  </si>
  <si>
    <t>Wskaźnik jednoroczny (prawa strona wzoru z art. 243)</t>
  </si>
  <si>
    <t>Wyliczenie zobowiązań wynikających z przejęcia przez jst zobowiązań po likwidowanych i przekształcanych SZOZ</t>
  </si>
  <si>
    <t>gwarancje i poręczenia podlegające wyłączeniu z limitów spłaty zobowiązań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</si>
  <si>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państwa)</t>
  </si>
  <si>
    <t>łączna kwota przypadających na dany rok kwot wyłączeń określonych w: art. 243 ust. 3 pkt 1 ustawy (lub art. 169 ust. 3 pkt 1 ufp z 2005 r.), art. 121a ustawy z dnia 27 sierpnia 2009 r. – Przepisy wprowadzające ustawę o finansach publicznych (Dz. U. Nr 157, poz. 1241, z późn. zm.) oraz art. 36 ustawy z dnia 7 grudnia 2012 r. o zmianie niektórych ustaw związanych z realizacją ustawy budżetowej (Dz.U. poz. 1456), w tym:</t>
  </si>
  <si>
    <t xml:space="preserve">Łączna kwota wyłączeń z ograniczeń długu określonych w art. 170 ust. 3 ufp z 2005 r. oraz w art. 36 ustawy o zmianie niektórych ustaw związanych z realizacją ustawy budżetowej, w tym: </t>
  </si>
  <si>
    <t>Wskaźnik zadłużenia do dochodów ogółem określony w art. 170 ufp z 2005 r., bez uwzględniania wyłączeń określonych w pkt 6.1.</t>
  </si>
  <si>
    <t xml:space="preserve">Wskaźnik zadłużenia do dochodów ogółem, o którym mowa w art. 170 ufp z 2005 r., po uwzględnieniu wyłączeń określonych w pkt 6.1. </t>
  </si>
  <si>
    <t>Różnica między dochodami bieżącymi, powiększonymi o nadwyżkę budżetową określoną w pkt 4.1. i wolne środki określone w pkt 4.2. a wydatkami bieżącymi, pomniejszonym o wydatki określone w pkt 2.1.2.</t>
  </si>
  <si>
    <t xml:space="preserve">Wskaźnik planowanej łącznej kwoty spłaty zobowiązań, o której mowa w art. 169 ust. 1 ufp z 2005 r. do dochodów ogółem, bez uwzględnienia wyłączeń określonych w pkt 5.1.1. 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</si>
  <si>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plan 3 kwartałów roku poprzedzającego rok budżetowy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</si>
  <si>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wykonanie roku poprzedzającego rok budżetowy</t>
  </si>
  <si>
    <t>Dochody bieżące na programy, projekty lub zadania finansowane z udziałem środków, o których mowa w art. 5 ust. 1 pkt 2 i 3 ustawy, w tym:</t>
  </si>
  <si>
    <t>Dochody majątkowe na programy, projekty lub zadania finansowane z udziałem środków, o których mowa w art. 5 ust. 1 pkt 2 i 3 ustawy, w tym:</t>
  </si>
  <si>
    <t>Dochody budżetowe z tytułu dotacji celowej z budżetu państwa, o której mowa w art. 196 ustawy z dnia 15 kwietnia 2011 r. o działalności leczniczej (Dz.U. Nr 112, poz. 654, z późn. zm.)</t>
  </si>
  <si>
    <t>Wydatki na spłatę przejętych zobowiązań samodzielnego publicznego zakładu opieki zdrowotnej przekształconego na zasadach określonych w przepisach o działalności leczniczej</t>
  </si>
  <si>
    <t>Wydatki na spłatę przejętych zobowiązań samodzielnego publicznego zakładu opieki zdrowotnej likwidowanego na zasadach określonych w przepisach o działalności leczniczej</t>
  </si>
  <si>
    <t>[6]"n" = [6]"n-1" + [4.3]"n" - [5.1]"n" +  ([14.2]"n"-[14.2]"n-1") + [14.4]</t>
  </si>
  <si>
    <t xml:space="preserve">[14.2] "n" =  ( [14.2]  "n-1" -  [14.3] "n" ) 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</si>
  <si>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</si>
  <si>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</si>
  <si>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t>X</t>
  </si>
  <si>
    <t>[N-1]pl3kw : [N-2]</t>
  </si>
  <si>
    <t>[N-1]wyk / [N-2]</t>
  </si>
  <si>
    <t>[N-1]wyk 
- [N-1]pl3kw</t>
  </si>
  <si>
    <t>[N-1]pl3kw 
- [N-2]</t>
  </si>
  <si>
    <t>[N-1]wyk 
/ [N-1]pl3kw</t>
  </si>
  <si>
    <t>[N-1]pl3kw / [N-2]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</si>
  <si>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</si>
  <si>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Dochody bieżące</t>
  </si>
  <si>
    <t>Dochody majątkowe</t>
  </si>
  <si>
    <t>Reguła logiczna:  jeżeli [10] &gt; 0 to [10.1] &gt;0</t>
  </si>
  <si>
    <t>Dochody ze sprzedaży majątku</t>
  </si>
  <si>
    <t>Wydatki bieżące</t>
  </si>
  <si>
    <t>z tytułu poręczeń i gwarancji</t>
  </si>
  <si>
    <t>Wydatki związane z funkcjonowaniem organów JST</t>
  </si>
  <si>
    <t>Wydatki na wynagrodzenia i składki od nich naliczane</t>
  </si>
  <si>
    <t>Wydatki bieżące objęte limitem art. 226 ust. 3</t>
  </si>
  <si>
    <t>Wydatki majątkowe objęte limitem art. 226 ust. 3</t>
  </si>
  <si>
    <t>Wydatki na obsługę długu</t>
  </si>
  <si>
    <t>Spłaty rat kapitałowych kredytów i pożyczek oraz wykup papierów wartościowych</t>
  </si>
  <si>
    <t>Wskaźnik z art. 169 ust. 1 ufp z 2005 r. po uwzględnieniu wyłączeń</t>
  </si>
  <si>
    <t>Wskaźnik z art. 169 ust. 1 ufp z 2005 r. bez uwzględnienia wyłączeń</t>
  </si>
  <si>
    <t>Wskaźnik z art. 170 ufp z 2005 r., bez uwzględniania wyłączeń</t>
  </si>
  <si>
    <t>Wskaźnik z art. 170 ufp z 2005 r. po uwzględnieniu wyłączeń</t>
  </si>
  <si>
    <t>Limit spłaty zobowiązań z art. 243 ustawy, po uwzględnieniu wyłączeń obliczony w oparciu o plan 3 kw. roku N-1</t>
  </si>
  <si>
    <t>Limit spłaty zobowiązań z art. 243 ustawy, po uwzględnieniu wyłączeń obliczony w oparciu o wykonanie 4 kw. roku N-1</t>
  </si>
  <si>
    <t>Relacja [R+O]/D , bez uwzględnienia zobowiązań związku JST i bez uwzględniania wyłączeń</t>
  </si>
  <si>
    <t>Relacja [R+O]/D , z uwzględnieniem zobowiązań związku JST i po uwzględnianiu wyłączeń</t>
  </si>
  <si>
    <t>Reguła logiczna: jeżeli [3] &gt;0 to [10] = [3]</t>
  </si>
  <si>
    <t>rokwzgl</t>
  </si>
  <si>
    <t>Uchwała z 31.10.2013r.</t>
  </si>
  <si>
    <t>BRZEZINY</t>
  </si>
  <si>
    <t>([2.1.1]+[2.1.3.1] + [5.1]+[9.5]-[5.1.1]- [2.1.1.1] )/[1]</t>
  </si>
  <si>
    <t>[11.3.1] + [11.3.2]</t>
  </si>
  <si>
    <t>[6] / [1]</t>
  </si>
  <si>
    <t>[1.1] + [1.2]</t>
  </si>
  <si>
    <t>([2.1.1] + [2.1.3.1] + [5.1] - [5.1.1]- [2.1.1.1] ) / [1]</t>
  </si>
  <si>
    <t>[5.1] + [5.2]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</si>
</sst>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%"/>
    <numFmt numFmtId="166" formatCode="0.00%;[Red]\-0.00%"/>
  </numFmts>
  <fonts count="7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Czcionka tekstu podstawowego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9"/>
      <color indexed="10"/>
      <name val="Czcionka tekstu podstawowego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10"/>
      <name val="Czcionka tekstu podstawowego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6">
    <xf numFmtId="0" fontId="0" fillId="0" borderId="0"/>
    <xf numFmtId="0" fontId="1" fillId="2" borderId="0" applyNumberFormat="0" applyBorder="0" applyAlignment="0" applyProtection="0"/>
    <xf numFmtId="0" fontId="56" fillId="30" borderId="0" applyNumberFormat="0" applyBorder="0" applyAlignment="0" applyProtection="0"/>
    <xf numFmtId="0" fontId="1" fillId="3" borderId="0" applyNumberFormat="0" applyBorder="0" applyAlignment="0" applyProtection="0"/>
    <xf numFmtId="0" fontId="56" fillId="31" borderId="0" applyNumberFormat="0" applyBorder="0" applyAlignment="0" applyProtection="0"/>
    <xf numFmtId="0" fontId="1" fillId="4" borderId="0" applyNumberFormat="0" applyBorder="0" applyAlignment="0" applyProtection="0"/>
    <xf numFmtId="0" fontId="56" fillId="32" borderId="0" applyNumberFormat="0" applyBorder="0" applyAlignment="0" applyProtection="0"/>
    <xf numFmtId="0" fontId="1" fillId="5" borderId="0" applyNumberFormat="0" applyBorder="0" applyAlignment="0" applyProtection="0"/>
    <xf numFmtId="0" fontId="56" fillId="33" borderId="0" applyNumberFormat="0" applyBorder="0" applyAlignment="0" applyProtection="0"/>
    <xf numFmtId="0" fontId="1" fillId="6" borderId="0" applyNumberFormat="0" applyBorder="0" applyAlignment="0" applyProtection="0"/>
    <xf numFmtId="0" fontId="56" fillId="34" borderId="0" applyNumberFormat="0" applyBorder="0" applyAlignment="0" applyProtection="0"/>
    <xf numFmtId="0" fontId="1" fillId="7" borderId="0" applyNumberFormat="0" applyBorder="0" applyAlignment="0" applyProtection="0"/>
    <xf numFmtId="0" fontId="56" fillId="35" borderId="0" applyNumberFormat="0" applyBorder="0" applyAlignment="0" applyProtection="0"/>
    <xf numFmtId="0" fontId="1" fillId="8" borderId="0" applyNumberFormat="0" applyBorder="0" applyAlignment="0" applyProtection="0"/>
    <xf numFmtId="0" fontId="56" fillId="36" borderId="0" applyNumberFormat="0" applyBorder="0" applyAlignment="0" applyProtection="0"/>
    <xf numFmtId="0" fontId="1" fillId="9" borderId="0" applyNumberFormat="0" applyBorder="0" applyAlignment="0" applyProtection="0"/>
    <xf numFmtId="0" fontId="56" fillId="37" borderId="0" applyNumberFormat="0" applyBorder="0" applyAlignment="0" applyProtection="0"/>
    <xf numFmtId="0" fontId="1" fillId="10" borderId="0" applyNumberFormat="0" applyBorder="0" applyAlignment="0" applyProtection="0"/>
    <xf numFmtId="0" fontId="56" fillId="38" borderId="0" applyNumberFormat="0" applyBorder="0" applyAlignment="0" applyProtection="0"/>
    <xf numFmtId="0" fontId="1" fillId="5" borderId="0" applyNumberFormat="0" applyBorder="0" applyAlignment="0" applyProtection="0"/>
    <xf numFmtId="0" fontId="56" fillId="39" borderId="0" applyNumberFormat="0" applyBorder="0" applyAlignment="0" applyProtection="0"/>
    <xf numFmtId="0" fontId="1" fillId="8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1" borderId="0" applyNumberFormat="0" applyBorder="0" applyAlignment="0" applyProtection="0"/>
    <xf numFmtId="0" fontId="12" fillId="12" borderId="0" applyNumberFormat="0" applyBorder="0" applyAlignment="0" applyProtection="0"/>
    <xf numFmtId="0" fontId="57" fillId="42" borderId="0" applyNumberFormat="0" applyBorder="0" applyAlignment="0" applyProtection="0"/>
    <xf numFmtId="0" fontId="12" fillId="9" borderId="0" applyNumberFormat="0" applyBorder="0" applyAlignment="0" applyProtection="0"/>
    <xf numFmtId="0" fontId="57" fillId="43" borderId="0" applyNumberFormat="0" applyBorder="0" applyAlignment="0" applyProtection="0"/>
    <xf numFmtId="0" fontId="12" fillId="10" borderId="0" applyNumberFormat="0" applyBorder="0" applyAlignment="0" applyProtection="0"/>
    <xf numFmtId="0" fontId="57" fillId="44" borderId="0" applyNumberFormat="0" applyBorder="0" applyAlignment="0" applyProtection="0"/>
    <xf numFmtId="0" fontId="12" fillId="13" borderId="0" applyNumberFormat="0" applyBorder="0" applyAlignment="0" applyProtection="0"/>
    <xf numFmtId="0" fontId="57" fillId="45" borderId="0" applyNumberFormat="0" applyBorder="0" applyAlignment="0" applyProtection="0"/>
    <xf numFmtId="0" fontId="12" fillId="14" borderId="0" applyNumberFormat="0" applyBorder="0" applyAlignment="0" applyProtection="0"/>
    <xf numFmtId="0" fontId="57" fillId="46" borderId="0" applyNumberFormat="0" applyBorder="0" applyAlignment="0" applyProtection="0"/>
    <xf numFmtId="0" fontId="12" fillId="15" borderId="0" applyNumberFormat="0" applyBorder="0" applyAlignment="0" applyProtection="0"/>
    <xf numFmtId="0" fontId="57" fillId="47" borderId="0" applyNumberFormat="0" applyBorder="0" applyAlignment="0" applyProtection="0"/>
    <xf numFmtId="0" fontId="12" fillId="16" borderId="0" applyNumberFormat="0" applyBorder="0" applyAlignment="0" applyProtection="0"/>
    <xf numFmtId="0" fontId="57" fillId="48" borderId="0" applyNumberFormat="0" applyBorder="0" applyAlignment="0" applyProtection="0"/>
    <xf numFmtId="0" fontId="12" fillId="17" borderId="0" applyNumberFormat="0" applyBorder="0" applyAlignment="0" applyProtection="0"/>
    <xf numFmtId="0" fontId="57" fillId="49" borderId="0" applyNumberFormat="0" applyBorder="0" applyAlignment="0" applyProtection="0"/>
    <xf numFmtId="0" fontId="12" fillId="18" borderId="0" applyNumberFormat="0" applyBorder="0" applyAlignment="0" applyProtection="0"/>
    <xf numFmtId="0" fontId="57" fillId="50" borderId="0" applyNumberFormat="0" applyBorder="0" applyAlignment="0" applyProtection="0"/>
    <xf numFmtId="0" fontId="12" fillId="13" borderId="0" applyNumberFormat="0" applyBorder="0" applyAlignment="0" applyProtection="0"/>
    <xf numFmtId="0" fontId="57" fillId="51" borderId="0" applyNumberFormat="0" applyBorder="0" applyAlignment="0" applyProtection="0"/>
    <xf numFmtId="0" fontId="12" fillId="14" borderId="0" applyNumberFormat="0" applyBorder="0" applyAlignment="0" applyProtection="0"/>
    <xf numFmtId="0" fontId="57" fillId="52" borderId="0" applyNumberFormat="0" applyBorder="0" applyAlignment="0" applyProtection="0"/>
    <xf numFmtId="0" fontId="12" fillId="19" borderId="0" applyNumberFormat="0" applyBorder="0" applyAlignment="0" applyProtection="0"/>
    <xf numFmtId="0" fontId="57" fillId="53" borderId="0" applyNumberFormat="0" applyBorder="0" applyAlignment="0" applyProtection="0"/>
    <xf numFmtId="0" fontId="13" fillId="7" borderId="1" applyNumberFormat="0" applyAlignment="0" applyProtection="0"/>
    <xf numFmtId="0" fontId="58" fillId="54" borderId="41" applyNumberFormat="0" applyAlignment="0" applyProtection="0"/>
    <xf numFmtId="0" fontId="14" fillId="20" borderId="2" applyNumberFormat="0" applyAlignment="0" applyProtection="0"/>
    <xf numFmtId="0" fontId="59" fillId="55" borderId="42" applyNumberFormat="0" applyAlignment="0" applyProtection="0"/>
    <xf numFmtId="0" fontId="15" fillId="4" borderId="0" applyNumberFormat="0" applyBorder="0" applyAlignment="0" applyProtection="0"/>
    <xf numFmtId="0" fontId="60" fillId="56" borderId="0" applyNumberFormat="0" applyBorder="0" applyAlignment="0" applyProtection="0"/>
    <xf numFmtId="0" fontId="16" fillId="0" borderId="3" applyNumberFormat="0" applyFill="0" applyAlignment="0" applyProtection="0"/>
    <xf numFmtId="0" fontId="61" fillId="0" borderId="43" applyNumberFormat="0" applyFill="0" applyAlignment="0" applyProtection="0"/>
    <xf numFmtId="0" fontId="17" fillId="21" borderId="4" applyNumberFormat="0" applyAlignment="0" applyProtection="0"/>
    <xf numFmtId="0" fontId="62" fillId="57" borderId="44" applyNumberFormat="0" applyAlignment="0" applyProtection="0"/>
    <xf numFmtId="0" fontId="18" fillId="0" borderId="5" applyNumberFormat="0" applyFill="0" applyAlignment="0" applyProtection="0"/>
    <xf numFmtId="0" fontId="63" fillId="0" borderId="45" applyNumberFormat="0" applyFill="0" applyAlignment="0" applyProtection="0"/>
    <xf numFmtId="0" fontId="19" fillId="0" borderId="6" applyNumberFormat="0" applyFill="0" applyAlignment="0" applyProtection="0"/>
    <xf numFmtId="0" fontId="64" fillId="0" borderId="46" applyNumberFormat="0" applyFill="0" applyAlignment="0" applyProtection="0"/>
    <xf numFmtId="0" fontId="20" fillId="0" borderId="7" applyNumberFormat="0" applyFill="0" applyAlignment="0" applyProtection="0"/>
    <xf numFmtId="0" fontId="65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66" fillId="58" borderId="0" applyNumberFormat="0" applyBorder="0" applyAlignment="0" applyProtection="0"/>
    <xf numFmtId="0" fontId="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56" fillId="0" borderId="0"/>
    <xf numFmtId="0" fontId="22" fillId="20" borderId="1" applyNumberFormat="0" applyAlignment="0" applyProtection="0"/>
    <xf numFmtId="0" fontId="67" fillId="55" borderId="4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3" fillId="0" borderId="8" applyNumberFormat="0" applyFill="0" applyAlignment="0" applyProtection="0"/>
    <xf numFmtId="0" fontId="68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41" fillId="59" borderId="49" applyNumberFormat="0" applyFont="0" applyAlignment="0" applyProtection="0"/>
    <xf numFmtId="0" fontId="27" fillId="3" borderId="0" applyNumberFormat="0" applyBorder="0" applyAlignment="0" applyProtection="0"/>
    <xf numFmtId="0" fontId="72" fillId="60" borderId="0" applyNumberFormat="0" applyBorder="0" applyAlignment="0" applyProtection="0"/>
  </cellStyleXfs>
  <cellXfs count="286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43" fillId="0" borderId="0" xfId="0" applyFont="1"/>
    <xf numFmtId="0" fontId="44" fillId="0" borderId="10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8" fillId="0" borderId="0" xfId="0" applyFont="1" applyFill="1"/>
    <xf numFmtId="0" fontId="45" fillId="0" borderId="0" xfId="0" applyFont="1" applyAlignment="1">
      <alignment horizontal="right"/>
    </xf>
    <xf numFmtId="1" fontId="46" fillId="0" borderId="0" xfId="0" applyNumberFormat="1" applyFont="1" applyAlignment="1">
      <alignment horizontal="center" vertical="center"/>
    </xf>
    <xf numFmtId="164" fontId="46" fillId="0" borderId="0" xfId="0" applyNumberFormat="1" applyFont="1" applyAlignment="1">
      <alignment vertical="center"/>
    </xf>
    <xf numFmtId="2" fontId="46" fillId="0" borderId="0" xfId="0" applyNumberFormat="1" applyFont="1" applyAlignment="1">
      <alignment vertical="center"/>
    </xf>
    <xf numFmtId="49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14" fontId="46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29" fillId="0" borderId="0" xfId="0" applyFont="1" applyAlignment="1">
      <alignment horizontal="left" indent="1"/>
    </xf>
    <xf numFmtId="164" fontId="8" fillId="0" borderId="0" xfId="0" applyNumberFormat="1" applyFont="1"/>
    <xf numFmtId="165" fontId="8" fillId="24" borderId="0" xfId="88" applyNumberFormat="1" applyFont="1" applyFill="1" applyAlignment="1">
      <alignment vertical="center"/>
    </xf>
    <xf numFmtId="165" fontId="8" fillId="25" borderId="0" xfId="88" applyNumberFormat="1" applyFont="1" applyFill="1" applyAlignment="1">
      <alignment vertical="center"/>
    </xf>
    <xf numFmtId="165" fontId="8" fillId="26" borderId="0" xfId="88" applyNumberFormat="1" applyFont="1" applyFill="1" applyAlignment="1">
      <alignment vertical="center"/>
    </xf>
    <xf numFmtId="165" fontId="9" fillId="26" borderId="0" xfId="86" applyNumberFormat="1" applyFont="1" applyFill="1" applyAlignment="1">
      <alignment vertical="center"/>
    </xf>
    <xf numFmtId="165" fontId="9" fillId="25" borderId="0" xfId="86" applyNumberFormat="1" applyFont="1" applyFill="1" applyAlignment="1">
      <alignment vertical="center"/>
    </xf>
    <xf numFmtId="165" fontId="9" fillId="24" borderId="0" xfId="86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/>
    <xf numFmtId="49" fontId="31" fillId="27" borderId="11" xfId="80" applyNumberFormat="1" applyFont="1" applyFill="1" applyBorder="1" applyAlignment="1">
      <alignment horizontal="center" vertical="center"/>
    </xf>
    <xf numFmtId="1" fontId="31" fillId="27" borderId="12" xfId="80" applyNumberFormat="1" applyFont="1" applyFill="1" applyBorder="1" applyAlignment="1">
      <alignment horizontal="center" vertical="center"/>
    </xf>
    <xf numFmtId="0" fontId="0" fillId="0" borderId="0" xfId="0" applyFont="1"/>
    <xf numFmtId="0" fontId="42" fillId="0" borderId="0" xfId="0" applyFont="1"/>
    <xf numFmtId="1" fontId="31" fillId="27" borderId="13" xfId="80" applyNumberFormat="1" applyFont="1" applyFill="1" applyBorder="1" applyAlignment="1">
      <alignment horizontal="center" vertical="center"/>
    </xf>
    <xf numFmtId="0" fontId="48" fillId="0" borderId="14" xfId="0" applyFont="1" applyBorder="1" applyAlignment="1">
      <alignment horizontal="left" vertical="center"/>
    </xf>
    <xf numFmtId="0" fontId="49" fillId="0" borderId="14" xfId="0" applyFont="1" applyBorder="1" applyAlignment="1">
      <alignment horizontal="left" vertical="center"/>
    </xf>
    <xf numFmtId="0" fontId="49" fillId="0" borderId="15" xfId="0" applyFont="1" applyBorder="1" applyAlignment="1">
      <alignment horizontal="left" vertical="center"/>
    </xf>
    <xf numFmtId="164" fontId="4" fillId="27" borderId="16" xfId="80" applyNumberFormat="1" applyFont="1" applyFill="1" applyBorder="1" applyAlignment="1">
      <alignment vertical="center" shrinkToFit="1"/>
    </xf>
    <xf numFmtId="164" fontId="4" fillId="27" borderId="17" xfId="80" applyNumberFormat="1" applyFont="1" applyFill="1" applyBorder="1" applyAlignment="1">
      <alignment vertical="center" shrinkToFit="1"/>
    </xf>
    <xf numFmtId="164" fontId="4" fillId="0" borderId="18" xfId="80" applyNumberFormat="1" applyFont="1" applyFill="1" applyBorder="1" applyAlignment="1">
      <alignment vertical="center" shrinkToFit="1"/>
    </xf>
    <xf numFmtId="164" fontId="4" fillId="0" borderId="16" xfId="80" applyNumberFormat="1" applyFont="1" applyFill="1" applyBorder="1" applyAlignment="1">
      <alignment vertical="center" shrinkToFit="1"/>
    </xf>
    <xf numFmtId="164" fontId="3" fillId="27" borderId="16" xfId="80" applyNumberFormat="1" applyFont="1" applyFill="1" applyBorder="1" applyAlignment="1">
      <alignment vertical="center" shrinkToFit="1"/>
    </xf>
    <xf numFmtId="164" fontId="3" fillId="27" borderId="17" xfId="80" applyNumberFormat="1" applyFont="1" applyFill="1" applyBorder="1" applyAlignment="1">
      <alignment vertical="center" shrinkToFit="1"/>
    </xf>
    <xf numFmtId="164" fontId="3" fillId="0" borderId="18" xfId="80" applyNumberFormat="1" applyFont="1" applyFill="1" applyBorder="1" applyAlignment="1">
      <alignment vertical="center" shrinkToFit="1"/>
    </xf>
    <xf numFmtId="164" fontId="3" fillId="0" borderId="16" xfId="80" applyNumberFormat="1" applyFont="1" applyFill="1" applyBorder="1" applyAlignment="1">
      <alignment vertical="center" shrinkToFit="1"/>
    </xf>
    <xf numFmtId="164" fontId="3" fillId="27" borderId="16" xfId="80" applyNumberFormat="1" applyFont="1" applyFill="1" applyBorder="1" applyAlignment="1">
      <alignment horizontal="center" vertical="center" shrinkToFit="1"/>
    </xf>
    <xf numFmtId="164" fontId="3" fillId="27" borderId="17" xfId="80" applyNumberFormat="1" applyFont="1" applyFill="1" applyBorder="1" applyAlignment="1">
      <alignment horizontal="center" vertical="center" shrinkToFit="1"/>
    </xf>
    <xf numFmtId="166" fontId="3" fillId="27" borderId="16" xfId="80" applyNumberFormat="1" applyFont="1" applyFill="1" applyBorder="1" applyAlignment="1">
      <alignment vertical="center" shrinkToFit="1"/>
    </xf>
    <xf numFmtId="166" fontId="3" fillId="27" borderId="17" xfId="80" applyNumberFormat="1" applyFont="1" applyFill="1" applyBorder="1" applyAlignment="1">
      <alignment vertical="center" shrinkToFit="1"/>
    </xf>
    <xf numFmtId="166" fontId="3" fillId="0" borderId="18" xfId="80" applyNumberFormat="1" applyFont="1" applyFill="1" applyBorder="1" applyAlignment="1">
      <alignment vertical="center" shrinkToFit="1"/>
    </xf>
    <xf numFmtId="166" fontId="3" fillId="0" borderId="16" xfId="80" applyNumberFormat="1" applyFont="1" applyFill="1" applyBorder="1" applyAlignment="1">
      <alignment vertical="center" shrinkToFit="1"/>
    </xf>
    <xf numFmtId="164" fontId="4" fillId="27" borderId="16" xfId="80" applyNumberFormat="1" applyFont="1" applyFill="1" applyBorder="1" applyAlignment="1">
      <alignment horizontal="center" vertical="center" shrinkToFit="1"/>
    </xf>
    <xf numFmtId="164" fontId="4" fillId="27" borderId="17" xfId="80" applyNumberFormat="1" applyFont="1" applyFill="1" applyBorder="1" applyAlignment="1">
      <alignment horizontal="center" vertical="center" shrinkToFit="1"/>
    </xf>
    <xf numFmtId="164" fontId="4" fillId="0" borderId="18" xfId="80" applyNumberFormat="1" applyFont="1" applyFill="1" applyBorder="1" applyAlignment="1">
      <alignment horizontal="center" vertical="center" shrinkToFit="1"/>
    </xf>
    <xf numFmtId="164" fontId="4" fillId="0" borderId="16" xfId="80" applyNumberFormat="1" applyFont="1" applyFill="1" applyBorder="1" applyAlignment="1">
      <alignment horizontal="center" vertical="center" shrinkToFit="1"/>
    </xf>
    <xf numFmtId="164" fontId="3" fillId="27" borderId="19" xfId="80" applyNumberFormat="1" applyFont="1" applyFill="1" applyBorder="1" applyAlignment="1">
      <alignment vertical="center" shrinkToFit="1"/>
    </xf>
    <xf numFmtId="164" fontId="3" fillId="27" borderId="20" xfId="80" applyNumberFormat="1" applyFont="1" applyFill="1" applyBorder="1" applyAlignment="1">
      <alignment vertical="center" shrinkToFit="1"/>
    </xf>
    <xf numFmtId="164" fontId="3" fillId="0" borderId="21" xfId="80" applyNumberFormat="1" applyFont="1" applyFill="1" applyBorder="1" applyAlignment="1">
      <alignment vertical="center" shrinkToFit="1"/>
    </xf>
    <xf numFmtId="164" fontId="3" fillId="0" borderId="19" xfId="80" applyNumberFormat="1" applyFont="1" applyFill="1" applyBorder="1" applyAlignment="1">
      <alignment vertical="center" shrinkToFit="1"/>
    </xf>
    <xf numFmtId="0" fontId="11" fillId="0" borderId="0" xfId="0" applyFont="1" applyFill="1"/>
    <xf numFmtId="0" fontId="10" fillId="0" borderId="0" xfId="0" applyFont="1" applyFill="1"/>
    <xf numFmtId="165" fontId="9" fillId="0" borderId="0" xfId="86" applyNumberFormat="1" applyFont="1" applyFill="1" applyAlignment="1">
      <alignment vertical="center"/>
    </xf>
    <xf numFmtId="165" fontId="8" fillId="0" borderId="0" xfId="88" applyNumberFormat="1" applyFont="1" applyFill="1" applyAlignment="1">
      <alignment vertical="center"/>
    </xf>
    <xf numFmtId="0" fontId="29" fillId="0" borderId="0" xfId="0" applyFont="1" applyFill="1" applyAlignment="1">
      <alignment horizontal="left" indent="1"/>
    </xf>
    <xf numFmtId="0" fontId="47" fillId="0" borderId="0" xfId="0" applyFont="1" applyBorder="1" applyAlignment="1">
      <alignment horizontal="center" vertical="center"/>
    </xf>
    <xf numFmtId="0" fontId="32" fillId="28" borderId="22" xfId="0" applyFont="1" applyFill="1" applyBorder="1" applyAlignment="1">
      <alignment horizontal="left" vertical="center" wrapText="1"/>
    </xf>
    <xf numFmtId="0" fontId="32" fillId="28" borderId="23" xfId="0" applyFont="1" applyFill="1" applyBorder="1" applyAlignment="1">
      <alignment horizontal="left" vertical="center" wrapText="1"/>
    </xf>
    <xf numFmtId="0" fontId="32" fillId="25" borderId="23" xfId="0" applyFont="1" applyFill="1" applyBorder="1" applyAlignment="1">
      <alignment horizontal="left" vertical="center" wrapText="1"/>
    </xf>
    <xf numFmtId="0" fontId="32" fillId="24" borderId="23" xfId="0" applyFont="1" applyFill="1" applyBorder="1" applyAlignment="1">
      <alignment horizontal="left" vertical="center" wrapText="1"/>
    </xf>
    <xf numFmtId="0" fontId="32" fillId="24" borderId="24" xfId="0" applyFont="1" applyFill="1" applyBorder="1" applyAlignment="1">
      <alignment horizontal="left" vertical="center" wrapText="1"/>
    </xf>
    <xf numFmtId="164" fontId="4" fillId="27" borderId="14" xfId="80" applyNumberFormat="1" applyFont="1" applyFill="1" applyBorder="1" applyAlignment="1">
      <alignment vertical="center" shrinkToFit="1"/>
    </xf>
    <xf numFmtId="164" fontId="3" fillId="27" borderId="14" xfId="80" applyNumberFormat="1" applyFont="1" applyFill="1" applyBorder="1" applyAlignment="1">
      <alignment vertical="center" shrinkToFit="1"/>
    </xf>
    <xf numFmtId="164" fontId="3" fillId="27" borderId="14" xfId="80" applyNumberFormat="1" applyFont="1" applyFill="1" applyBorder="1" applyAlignment="1">
      <alignment horizontal="center" vertical="center" shrinkToFit="1"/>
    </xf>
    <xf numFmtId="166" fontId="3" fillId="27" borderId="14" xfId="80" applyNumberFormat="1" applyFont="1" applyFill="1" applyBorder="1" applyAlignment="1">
      <alignment vertical="center" shrinkToFit="1"/>
    </xf>
    <xf numFmtId="164" fontId="4" fillId="27" borderId="14" xfId="80" applyNumberFormat="1" applyFont="1" applyFill="1" applyBorder="1" applyAlignment="1">
      <alignment horizontal="center" vertical="center" shrinkToFit="1"/>
    </xf>
    <xf numFmtId="164" fontId="3" fillId="27" borderId="15" xfId="80" applyNumberFormat="1" applyFont="1" applyFill="1" applyBorder="1" applyAlignment="1">
      <alignment vertical="center" shrinkToFit="1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49" fillId="0" borderId="14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50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 wrapText="1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32" fillId="28" borderId="0" xfId="0" applyFont="1" applyFill="1" applyBorder="1" applyAlignment="1" applyProtection="1">
      <alignment horizontal="left" vertical="center" wrapText="1"/>
      <protection locked="0"/>
    </xf>
    <xf numFmtId="0" fontId="32" fillId="25" borderId="0" xfId="0" applyFont="1" applyFill="1" applyBorder="1" applyAlignment="1" applyProtection="1">
      <alignment horizontal="left" vertical="center" wrapText="1"/>
      <protection locked="0"/>
    </xf>
    <xf numFmtId="0" fontId="32" fillId="24" borderId="0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/>
    <xf numFmtId="0" fontId="3" fillId="29" borderId="27" xfId="0" applyFont="1" applyFill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3" fillId="29" borderId="28" xfId="0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0" fontId="35" fillId="29" borderId="28" xfId="0" applyFont="1" applyFill="1" applyBorder="1" applyAlignment="1">
      <alignment horizontal="left" vertical="center" wrapText="1"/>
    </xf>
    <xf numFmtId="0" fontId="35" fillId="29" borderId="29" xfId="0" applyFont="1" applyFill="1" applyBorder="1" applyAlignment="1">
      <alignment horizontal="left" vertical="center" wrapText="1"/>
    </xf>
    <xf numFmtId="4" fontId="3" fillId="0" borderId="21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0" fontId="3" fillId="0" borderId="0" xfId="0" applyFont="1"/>
    <xf numFmtId="0" fontId="4" fillId="0" borderId="30" xfId="0" applyFont="1" applyBorder="1" applyAlignment="1">
      <alignment vertical="center"/>
    </xf>
    <xf numFmtId="165" fontId="4" fillId="27" borderId="12" xfId="0" applyNumberFormat="1" applyFont="1" applyFill="1" applyBorder="1" applyAlignment="1">
      <alignment horizontal="right" vertical="center"/>
    </xf>
    <xf numFmtId="165" fontId="4" fillId="27" borderId="31" xfId="0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 indent="1"/>
    </xf>
    <xf numFmtId="165" fontId="3" fillId="0" borderId="18" xfId="86" applyNumberFormat="1" applyFont="1" applyFill="1" applyBorder="1" applyAlignment="1">
      <alignment horizontal="right" vertical="center"/>
    </xf>
    <xf numFmtId="165" fontId="3" fillId="0" borderId="16" xfId="86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 wrapText="1" indent="2"/>
    </xf>
    <xf numFmtId="0" fontId="3" fillId="0" borderId="33" xfId="0" applyFont="1" applyBorder="1" applyAlignment="1">
      <alignment horizontal="left" vertical="center" wrapText="1" indent="2"/>
    </xf>
    <xf numFmtId="165" fontId="3" fillId="0" borderId="34" xfId="86" applyNumberFormat="1" applyFont="1" applyFill="1" applyBorder="1" applyAlignment="1">
      <alignment horizontal="right" vertical="center"/>
    </xf>
    <xf numFmtId="165" fontId="3" fillId="0" borderId="35" xfId="86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indent="1"/>
    </xf>
    <xf numFmtId="165" fontId="3" fillId="0" borderId="21" xfId="86" applyNumberFormat="1" applyFont="1" applyFill="1" applyBorder="1" applyAlignment="1">
      <alignment horizontal="right" vertical="center"/>
    </xf>
    <xf numFmtId="165" fontId="3" fillId="0" borderId="19" xfId="86" applyNumberFormat="1" applyFont="1" applyFill="1" applyBorder="1" applyAlignment="1">
      <alignment horizontal="right" vertical="center"/>
    </xf>
    <xf numFmtId="0" fontId="36" fillId="0" borderId="0" xfId="0" applyFont="1" applyFill="1"/>
    <xf numFmtId="0" fontId="3" fillId="0" borderId="0" xfId="0" applyFont="1" applyAlignment="1">
      <alignment vertical="center"/>
    </xf>
    <xf numFmtId="164" fontId="4" fillId="27" borderId="11" xfId="0" applyNumberFormat="1" applyFont="1" applyFill="1" applyBorder="1" applyAlignment="1">
      <alignment vertical="center"/>
    </xf>
    <xf numFmtId="164" fontId="4" fillId="27" borderId="12" xfId="0" applyNumberFormat="1" applyFont="1" applyFill="1" applyBorder="1" applyAlignment="1">
      <alignment vertical="center"/>
    </xf>
    <xf numFmtId="164" fontId="4" fillId="27" borderId="31" xfId="0" applyNumberFormat="1" applyFont="1" applyFill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164" fontId="3" fillId="27" borderId="14" xfId="0" applyNumberFormat="1" applyFont="1" applyFill="1" applyBorder="1" applyAlignment="1">
      <alignment vertical="center"/>
    </xf>
    <xf numFmtId="164" fontId="3" fillId="27" borderId="16" xfId="0" applyNumberFormat="1" applyFont="1" applyFill="1" applyBorder="1" applyAlignment="1">
      <alignment vertical="center"/>
    </xf>
    <xf numFmtId="164" fontId="3" fillId="27" borderId="17" xfId="0" applyNumberFormat="1" applyFont="1" applyFill="1" applyBorder="1" applyAlignment="1">
      <alignment vertical="center"/>
    </xf>
    <xf numFmtId="164" fontId="3" fillId="27" borderId="15" xfId="0" applyNumberFormat="1" applyFont="1" applyFill="1" applyBorder="1" applyAlignment="1">
      <alignment vertical="center"/>
    </xf>
    <xf numFmtId="164" fontId="3" fillId="27" borderId="19" xfId="0" applyNumberFormat="1" applyFont="1" applyFill="1" applyBorder="1" applyAlignment="1">
      <alignment vertical="center"/>
    </xf>
    <xf numFmtId="164" fontId="3" fillId="27" borderId="20" xfId="0" applyNumberFormat="1" applyFont="1" applyFill="1" applyBorder="1" applyAlignment="1">
      <alignment vertical="center"/>
    </xf>
    <xf numFmtId="4" fontId="3" fillId="27" borderId="11" xfId="0" applyNumberFormat="1" applyFont="1" applyFill="1" applyBorder="1" applyAlignment="1">
      <alignment vertical="center"/>
    </xf>
    <xf numFmtId="4" fontId="3" fillId="27" borderId="12" xfId="0" applyNumberFormat="1" applyFont="1" applyFill="1" applyBorder="1" applyAlignment="1">
      <alignment vertical="center"/>
    </xf>
    <xf numFmtId="4" fontId="3" fillId="27" borderId="31" xfId="0" applyNumberFormat="1" applyFont="1" applyFill="1" applyBorder="1" applyAlignment="1">
      <alignment vertical="center"/>
    </xf>
    <xf numFmtId="4" fontId="3" fillId="27" borderId="14" xfId="0" applyNumberFormat="1" applyFont="1" applyFill="1" applyBorder="1" applyAlignment="1">
      <alignment vertical="center"/>
    </xf>
    <xf numFmtId="4" fontId="3" fillId="27" borderId="16" xfId="0" applyNumberFormat="1" applyFont="1" applyFill="1" applyBorder="1" applyAlignment="1">
      <alignment vertical="center"/>
    </xf>
    <xf numFmtId="4" fontId="3" fillId="27" borderId="17" xfId="0" applyNumberFormat="1" applyFont="1" applyFill="1" applyBorder="1" applyAlignment="1">
      <alignment vertical="center"/>
    </xf>
    <xf numFmtId="4" fontId="3" fillId="27" borderId="19" xfId="0" applyNumberFormat="1" applyFont="1" applyFill="1" applyBorder="1" applyAlignment="1">
      <alignment vertical="center"/>
    </xf>
    <xf numFmtId="4" fontId="3" fillId="27" borderId="20" xfId="0" applyNumberFormat="1" applyFont="1" applyFill="1" applyBorder="1" applyAlignment="1">
      <alignment vertical="center"/>
    </xf>
    <xf numFmtId="165" fontId="3" fillId="27" borderId="16" xfId="0" applyNumberFormat="1" applyFont="1" applyFill="1" applyBorder="1" applyAlignment="1">
      <alignment horizontal="right" vertical="center"/>
    </xf>
    <xf numFmtId="165" fontId="3" fillId="27" borderId="17" xfId="0" applyNumberFormat="1" applyFont="1" applyFill="1" applyBorder="1" applyAlignment="1">
      <alignment horizontal="right" vertical="center"/>
    </xf>
    <xf numFmtId="165" fontId="3" fillId="27" borderId="16" xfId="0" applyNumberFormat="1" applyFont="1" applyFill="1" applyBorder="1" applyAlignment="1">
      <alignment horizontal="right" vertical="center" wrapText="1"/>
    </xf>
    <xf numFmtId="165" fontId="3" fillId="27" borderId="17" xfId="0" applyNumberFormat="1" applyFont="1" applyFill="1" applyBorder="1" applyAlignment="1">
      <alignment horizontal="right" vertical="center" wrapText="1"/>
    </xf>
    <xf numFmtId="165" fontId="3" fillId="27" borderId="35" xfId="0" applyNumberFormat="1" applyFont="1" applyFill="1" applyBorder="1" applyAlignment="1">
      <alignment horizontal="right" vertical="center" wrapText="1"/>
    </xf>
    <xf numFmtId="165" fontId="3" fillId="27" borderId="36" xfId="0" applyNumberFormat="1" applyFont="1" applyFill="1" applyBorder="1" applyAlignment="1">
      <alignment horizontal="right" vertical="center" wrapText="1"/>
    </xf>
    <xf numFmtId="165" fontId="4" fillId="27" borderId="16" xfId="0" applyNumberFormat="1" applyFont="1" applyFill="1" applyBorder="1" applyAlignment="1">
      <alignment horizontal="right" vertical="center"/>
    </xf>
    <xf numFmtId="165" fontId="4" fillId="27" borderId="17" xfId="0" applyNumberFormat="1" applyFont="1" applyFill="1" applyBorder="1" applyAlignment="1">
      <alignment horizontal="right" vertical="center"/>
    </xf>
    <xf numFmtId="165" fontId="3" fillId="27" borderId="19" xfId="0" applyNumberFormat="1" applyFont="1" applyFill="1" applyBorder="1" applyAlignment="1">
      <alignment horizontal="right" vertical="center" wrapText="1"/>
    </xf>
    <xf numFmtId="165" fontId="3" fillId="27" borderId="20" xfId="0" applyNumberFormat="1" applyFont="1" applyFill="1" applyBorder="1" applyAlignment="1">
      <alignment horizontal="right" vertical="center" wrapText="1"/>
    </xf>
    <xf numFmtId="164" fontId="4" fillId="27" borderId="12" xfId="0" applyNumberFormat="1" applyFont="1" applyFill="1" applyBorder="1" applyAlignment="1">
      <alignment horizontal="right" vertical="center"/>
    </xf>
    <xf numFmtId="164" fontId="4" fillId="27" borderId="31" xfId="0" applyNumberFormat="1" applyFont="1" applyFill="1" applyBorder="1" applyAlignment="1">
      <alignment horizontal="right" vertical="center"/>
    </xf>
    <xf numFmtId="164" fontId="4" fillId="27" borderId="14" xfId="0" applyNumberFormat="1" applyFont="1" applyFill="1" applyBorder="1" applyAlignment="1">
      <alignment vertical="center"/>
    </xf>
    <xf numFmtId="164" fontId="4" fillId="27" borderId="16" xfId="0" applyNumberFormat="1" applyFont="1" applyFill="1" applyBorder="1" applyAlignment="1">
      <alignment vertical="center"/>
    </xf>
    <xf numFmtId="164" fontId="4" fillId="27" borderId="17" xfId="0" applyNumberFormat="1" applyFont="1" applyFill="1" applyBorder="1" applyAlignment="1">
      <alignment vertical="center"/>
    </xf>
    <xf numFmtId="164" fontId="3" fillId="27" borderId="16" xfId="0" applyNumberFormat="1" applyFont="1" applyFill="1" applyBorder="1" applyAlignment="1">
      <alignment horizontal="right" vertical="center"/>
    </xf>
    <xf numFmtId="164" fontId="3" fillId="27" borderId="17" xfId="0" applyNumberFormat="1" applyFont="1" applyFill="1" applyBorder="1" applyAlignment="1">
      <alignment horizontal="right" vertical="center"/>
    </xf>
    <xf numFmtId="164" fontId="3" fillId="27" borderId="16" xfId="0" applyNumberFormat="1" applyFont="1" applyFill="1" applyBorder="1" applyAlignment="1">
      <alignment horizontal="right" vertical="center" wrapText="1"/>
    </xf>
    <xf numFmtId="164" fontId="3" fillId="27" borderId="17" xfId="0" applyNumberFormat="1" applyFont="1" applyFill="1" applyBorder="1" applyAlignment="1">
      <alignment horizontal="right" vertical="center" wrapText="1"/>
    </xf>
    <xf numFmtId="164" fontId="3" fillId="27" borderId="19" xfId="0" applyNumberFormat="1" applyFont="1" applyFill="1" applyBorder="1" applyAlignment="1">
      <alignment horizontal="right" vertical="center" wrapText="1"/>
    </xf>
    <xf numFmtId="164" fontId="3" fillId="27" borderId="20" xfId="0" applyNumberFormat="1" applyFont="1" applyFill="1" applyBorder="1" applyAlignment="1">
      <alignment horizontal="right" vertical="center" wrapText="1"/>
    </xf>
    <xf numFmtId="164" fontId="4" fillId="27" borderId="16" xfId="0" applyNumberFormat="1" applyFont="1" applyFill="1" applyBorder="1" applyAlignment="1">
      <alignment horizontal="right" vertical="center"/>
    </xf>
    <xf numFmtId="164" fontId="4" fillId="27" borderId="17" xfId="0" applyNumberFormat="1" applyFont="1" applyFill="1" applyBorder="1" applyAlignment="1">
      <alignment horizontal="right" vertical="center"/>
    </xf>
    <xf numFmtId="0" fontId="4" fillId="0" borderId="0" xfId="0" applyFont="1"/>
    <xf numFmtId="165" fontId="4" fillId="0" borderId="13" xfId="86" applyNumberFormat="1" applyFont="1" applyFill="1" applyBorder="1" applyAlignment="1">
      <alignment horizontal="right" vertical="center"/>
    </xf>
    <xf numFmtId="165" fontId="4" fillId="0" borderId="12" xfId="86" applyNumberFormat="1" applyFont="1" applyFill="1" applyBorder="1" applyAlignment="1">
      <alignment horizontal="right" vertical="center"/>
    </xf>
    <xf numFmtId="0" fontId="52" fillId="0" borderId="0" xfId="0" applyFont="1"/>
    <xf numFmtId="165" fontId="4" fillId="0" borderId="18" xfId="86" applyNumberFormat="1" applyFont="1" applyFill="1" applyBorder="1" applyAlignment="1">
      <alignment horizontal="right" vertical="center"/>
    </xf>
    <xf numFmtId="165" fontId="4" fillId="0" borderId="16" xfId="86" applyNumberFormat="1" applyFont="1" applyFill="1" applyBorder="1" applyAlignment="1">
      <alignment horizontal="right" vertical="center"/>
    </xf>
    <xf numFmtId="164" fontId="4" fillId="0" borderId="13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3" fillId="0" borderId="30" xfId="0" applyFont="1" applyBorder="1"/>
    <xf numFmtId="10" fontId="3" fillId="0" borderId="13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0" fontId="3" fillId="0" borderId="33" xfId="0" applyFont="1" applyBorder="1"/>
    <xf numFmtId="10" fontId="3" fillId="0" borderId="21" xfId="0" applyNumberFormat="1" applyFont="1" applyFill="1" applyBorder="1" applyAlignment="1">
      <alignment vertical="center"/>
    </xf>
    <xf numFmtId="10" fontId="3" fillId="0" borderId="19" xfId="0" applyNumberFormat="1" applyFont="1" applyFill="1" applyBorder="1" applyAlignment="1">
      <alignment vertical="center"/>
    </xf>
    <xf numFmtId="0" fontId="34" fillId="0" borderId="38" xfId="0" applyFont="1" applyBorder="1" applyAlignment="1" applyProtection="1">
      <alignment vertical="center" wrapText="1"/>
      <protection locked="0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3" fillId="0" borderId="18" xfId="80" applyNumberFormat="1" applyFont="1" applyFill="1" applyBorder="1" applyAlignment="1">
      <alignment horizontal="center" vertical="center" shrinkToFit="1"/>
    </xf>
    <xf numFmtId="0" fontId="3" fillId="0" borderId="16" xfId="80" applyNumberFormat="1" applyFont="1" applyFill="1" applyBorder="1" applyAlignment="1">
      <alignment horizontal="center" vertical="center" shrinkToFit="1"/>
    </xf>
    <xf numFmtId="0" fontId="34" fillId="0" borderId="0" xfId="0" applyFont="1"/>
    <xf numFmtId="0" fontId="31" fillId="0" borderId="0" xfId="0" applyFont="1"/>
    <xf numFmtId="0" fontId="32" fillId="0" borderId="38" xfId="0" applyFont="1" applyFill="1" applyBorder="1" applyAlignment="1" applyProtection="1">
      <alignment vertical="center"/>
      <protection locked="0"/>
    </xf>
    <xf numFmtId="0" fontId="37" fillId="0" borderId="38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4" fontId="3" fillId="27" borderId="15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5" fillId="0" borderId="18" xfId="0" applyNumberFormat="1" applyFont="1" applyFill="1" applyBorder="1" applyAlignment="1">
      <alignment horizontal="center" vertical="center"/>
    </xf>
    <xf numFmtId="0" fontId="45" fillId="0" borderId="16" xfId="0" applyNumberFormat="1" applyFont="1" applyFill="1" applyBorder="1" applyAlignment="1">
      <alignment horizontal="center" vertical="center"/>
    </xf>
    <xf numFmtId="164" fontId="45" fillId="0" borderId="18" xfId="0" applyNumberFormat="1" applyFont="1" applyFill="1" applyBorder="1" applyAlignment="1">
      <alignment horizontal="center" vertical="center"/>
    </xf>
    <xf numFmtId="164" fontId="45" fillId="0" borderId="16" xfId="0" applyNumberFormat="1" applyFont="1" applyFill="1" applyBorder="1" applyAlignment="1">
      <alignment horizontal="center" vertical="center"/>
    </xf>
    <xf numFmtId="49" fontId="31" fillId="27" borderId="22" xfId="80" applyNumberFormat="1" applyFont="1" applyFill="1" applyBorder="1" applyAlignment="1">
      <alignment horizontal="center" vertical="center"/>
    </xf>
    <xf numFmtId="49" fontId="31" fillId="27" borderId="25" xfId="80" applyNumberFormat="1" applyFont="1" applyFill="1" applyBorder="1" applyAlignment="1">
      <alignment horizontal="center" vertical="center"/>
    </xf>
    <xf numFmtId="0" fontId="48" fillId="0" borderId="23" xfId="0" applyFont="1" applyBorder="1" applyAlignment="1">
      <alignment horizontal="left" vertical="center" wrapText="1"/>
    </xf>
    <xf numFmtId="0" fontId="48" fillId="0" borderId="23" xfId="0" applyFont="1" applyBorder="1" applyAlignment="1">
      <alignment vertical="center" wrapText="1"/>
    </xf>
    <xf numFmtId="0" fontId="49" fillId="0" borderId="26" xfId="0" applyFont="1" applyBorder="1" applyAlignment="1">
      <alignment horizontal="left" vertical="center"/>
    </xf>
    <xf numFmtId="0" fontId="49" fillId="0" borderId="26" xfId="0" applyFont="1" applyBorder="1" applyAlignment="1">
      <alignment horizontal="left" vertical="center" wrapText="1" indent="1"/>
    </xf>
    <xf numFmtId="0" fontId="49" fillId="0" borderId="26" xfId="0" applyFont="1" applyBorder="1" applyAlignment="1">
      <alignment horizontal="left" vertical="center" wrapText="1" indent="2"/>
    </xf>
    <xf numFmtId="0" fontId="49" fillId="0" borderId="26" xfId="0" applyFont="1" applyBorder="1" applyAlignment="1">
      <alignment horizontal="left" vertical="center" wrapText="1" indent="3"/>
    </xf>
    <xf numFmtId="0" fontId="53" fillId="0" borderId="27" xfId="83" applyFont="1" applyBorder="1" applyAlignment="1">
      <alignment vertical="center"/>
    </xf>
    <xf numFmtId="0" fontId="53" fillId="0" borderId="25" xfId="83" applyFont="1" applyBorder="1" applyAlignment="1">
      <alignment vertical="center"/>
    </xf>
    <xf numFmtId="0" fontId="53" fillId="0" borderId="28" xfId="83" applyFont="1" applyBorder="1" applyAlignment="1">
      <alignment vertical="center"/>
    </xf>
    <xf numFmtId="0" fontId="53" fillId="0" borderId="26" xfId="83" applyFont="1" applyBorder="1" applyAlignment="1">
      <alignment vertical="center"/>
    </xf>
    <xf numFmtId="0" fontId="53" fillId="0" borderId="29" xfId="83" applyFont="1" applyBorder="1" applyAlignment="1">
      <alignment vertical="center"/>
    </xf>
    <xf numFmtId="0" fontId="53" fillId="0" borderId="37" xfId="83" applyFont="1" applyBorder="1" applyAlignment="1">
      <alignment vertical="center"/>
    </xf>
    <xf numFmtId="0" fontId="48" fillId="0" borderId="23" xfId="0" applyFont="1" applyBorder="1" applyAlignment="1" applyProtection="1">
      <alignment horizontal="left" vertical="center" wrapText="1" indent="2"/>
      <protection locked="0"/>
    </xf>
    <xf numFmtId="0" fontId="49" fillId="0" borderId="37" xfId="0" applyFont="1" applyBorder="1" applyAlignment="1">
      <alignment horizontal="left" vertical="center" wrapText="1" indent="1"/>
    </xf>
    <xf numFmtId="0" fontId="54" fillId="0" borderId="28" xfId="83" applyFont="1" applyBorder="1" applyAlignment="1">
      <alignment vertical="center"/>
    </xf>
    <xf numFmtId="4" fontId="3" fillId="27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26" xfId="0" applyFont="1" applyBorder="1" applyAlignment="1">
      <alignment horizontal="left" vertical="center"/>
    </xf>
    <xf numFmtId="0" fontId="49" fillId="0" borderId="37" xfId="0" applyFont="1" applyBorder="1" applyAlignment="1">
      <alignment horizontal="left" vertical="center"/>
    </xf>
    <xf numFmtId="0" fontId="54" fillId="0" borderId="26" xfId="83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10" fontId="3" fillId="27" borderId="11" xfId="0" applyNumberFormat="1" applyFont="1" applyFill="1" applyBorder="1" applyAlignment="1">
      <alignment horizontal="center" vertical="center"/>
    </xf>
    <xf numFmtId="10" fontId="3" fillId="27" borderId="12" xfId="0" applyNumberFormat="1" applyFont="1" applyFill="1" applyBorder="1" applyAlignment="1">
      <alignment horizontal="center" vertical="center"/>
    </xf>
    <xf numFmtId="10" fontId="3" fillId="27" borderId="31" xfId="0" applyNumberFormat="1" applyFont="1" applyFill="1" applyBorder="1" applyAlignment="1">
      <alignment horizontal="center" vertical="center"/>
    </xf>
    <xf numFmtId="10" fontId="3" fillId="27" borderId="15" xfId="0" applyNumberFormat="1" applyFont="1" applyFill="1" applyBorder="1" applyAlignment="1">
      <alignment horizontal="center" vertical="center"/>
    </xf>
    <xf numFmtId="10" fontId="3" fillId="27" borderId="19" xfId="0" applyNumberFormat="1" applyFont="1" applyFill="1" applyBorder="1" applyAlignment="1">
      <alignment horizontal="center" vertical="center"/>
    </xf>
    <xf numFmtId="10" fontId="3" fillId="27" borderId="20" xfId="0" applyNumberFormat="1" applyFont="1" applyFill="1" applyBorder="1" applyAlignment="1">
      <alignment horizontal="center" vertical="center"/>
    </xf>
    <xf numFmtId="165" fontId="4" fillId="27" borderId="11" xfId="0" applyNumberFormat="1" applyFont="1" applyFill="1" applyBorder="1" applyAlignment="1">
      <alignment horizontal="center" vertical="center"/>
    </xf>
    <xf numFmtId="165" fontId="3" fillId="27" borderId="14" xfId="0" applyNumberFormat="1" applyFont="1" applyFill="1" applyBorder="1" applyAlignment="1">
      <alignment horizontal="center" vertical="center"/>
    </xf>
    <xf numFmtId="165" fontId="3" fillId="27" borderId="14" xfId="0" applyNumberFormat="1" applyFont="1" applyFill="1" applyBorder="1" applyAlignment="1">
      <alignment horizontal="center" vertical="center" wrapText="1"/>
    </xf>
    <xf numFmtId="165" fontId="3" fillId="27" borderId="39" xfId="0" applyNumberFormat="1" applyFont="1" applyFill="1" applyBorder="1" applyAlignment="1">
      <alignment horizontal="center" vertical="center" wrapText="1"/>
    </xf>
    <xf numFmtId="165" fontId="4" fillId="27" borderId="14" xfId="0" applyNumberFormat="1" applyFont="1" applyFill="1" applyBorder="1" applyAlignment="1">
      <alignment horizontal="center" vertical="center"/>
    </xf>
    <xf numFmtId="165" fontId="3" fillId="27" borderId="15" xfId="0" applyNumberFormat="1" applyFont="1" applyFill="1" applyBorder="1" applyAlignment="1">
      <alignment horizontal="center" vertical="center" wrapText="1"/>
    </xf>
    <xf numFmtId="164" fontId="4" fillId="27" borderId="11" xfId="0" applyNumberFormat="1" applyFont="1" applyFill="1" applyBorder="1" applyAlignment="1">
      <alignment horizontal="center" vertical="center"/>
    </xf>
    <xf numFmtId="164" fontId="3" fillId="27" borderId="14" xfId="0" applyNumberFormat="1" applyFont="1" applyFill="1" applyBorder="1" applyAlignment="1">
      <alignment horizontal="center" vertical="center"/>
    </xf>
    <xf numFmtId="164" fontId="3" fillId="27" borderId="14" xfId="0" applyNumberFormat="1" applyFont="1" applyFill="1" applyBorder="1" applyAlignment="1">
      <alignment horizontal="center" vertical="center" wrapText="1"/>
    </xf>
    <xf numFmtId="164" fontId="3" fillId="27" borderId="15" xfId="0" applyNumberFormat="1" applyFont="1" applyFill="1" applyBorder="1" applyAlignment="1">
      <alignment horizontal="center" vertical="center" wrapText="1"/>
    </xf>
    <xf numFmtId="164" fontId="4" fillId="27" borderId="14" xfId="0" applyNumberFormat="1" applyFont="1" applyFill="1" applyBorder="1" applyAlignment="1">
      <alignment horizontal="center" vertical="center"/>
    </xf>
    <xf numFmtId="0" fontId="32" fillId="27" borderId="11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center" vertical="center" wrapText="1"/>
    </xf>
    <xf numFmtId="0" fontId="32" fillId="27" borderId="31" xfId="0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center" vertical="center" wrapText="1"/>
    </xf>
    <xf numFmtId="0" fontId="32" fillId="27" borderId="16" xfId="0" applyFont="1" applyFill="1" applyBorder="1" applyAlignment="1">
      <alignment horizontal="center" vertical="center" wrapText="1"/>
    </xf>
    <xf numFmtId="0" fontId="32" fillId="27" borderId="17" xfId="0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 wrapText="1"/>
    </xf>
    <xf numFmtId="0" fontId="32" fillId="27" borderId="19" xfId="0" applyFont="1" applyFill="1" applyBorder="1" applyAlignment="1">
      <alignment horizontal="center" vertical="center" wrapText="1"/>
    </xf>
    <xf numFmtId="0" fontId="32" fillId="27" borderId="20" xfId="0" applyFont="1" applyFill="1" applyBorder="1" applyAlignment="1">
      <alignment horizontal="center" vertical="center" wrapText="1"/>
    </xf>
    <xf numFmtId="4" fontId="3" fillId="27" borderId="16" xfId="0" applyNumberFormat="1" applyFont="1" applyFill="1" applyBorder="1" applyAlignment="1">
      <alignment horizontal="center" vertical="center"/>
    </xf>
    <xf numFmtId="4" fontId="3" fillId="27" borderId="19" xfId="0" applyNumberFormat="1" applyFont="1" applyFill="1" applyBorder="1" applyAlignment="1">
      <alignment horizontal="center" vertical="center"/>
    </xf>
    <xf numFmtId="0" fontId="3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 wrapText="1"/>
    </xf>
    <xf numFmtId="165" fontId="4" fillId="0" borderId="0" xfId="88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4" fillId="27" borderId="14" xfId="80" applyNumberFormat="1" applyFont="1" applyFill="1" applyBorder="1" applyAlignment="1">
      <alignment horizontal="center" vertical="center" shrinkToFit="1"/>
    </xf>
    <xf numFmtId="165" fontId="4" fillId="27" borderId="16" xfId="80" applyNumberFormat="1" applyFont="1" applyFill="1" applyBorder="1" applyAlignment="1">
      <alignment vertical="center" shrinkToFit="1"/>
    </xf>
    <xf numFmtId="165" fontId="4" fillId="27" borderId="17" xfId="80" applyNumberFormat="1" applyFont="1" applyFill="1" applyBorder="1" applyAlignment="1">
      <alignment horizontal="center" vertical="center" shrinkToFit="1"/>
    </xf>
    <xf numFmtId="165" fontId="4" fillId="0" borderId="18" xfId="80" applyNumberFormat="1" applyFont="1" applyFill="1" applyBorder="1" applyAlignment="1">
      <alignment vertical="center" shrinkToFit="1"/>
    </xf>
    <xf numFmtId="165" fontId="4" fillId="0" borderId="16" xfId="80" applyNumberFormat="1" applyFont="1" applyFill="1" applyBorder="1" applyAlignment="1">
      <alignment vertical="center" shrinkToFit="1"/>
    </xf>
    <xf numFmtId="165" fontId="3" fillId="27" borderId="14" xfId="80" applyNumberFormat="1" applyFont="1" applyFill="1" applyBorder="1" applyAlignment="1">
      <alignment horizontal="center" vertical="center" shrinkToFit="1"/>
    </xf>
    <xf numFmtId="165" fontId="3" fillId="27" borderId="16" xfId="80" applyNumberFormat="1" applyFont="1" applyFill="1" applyBorder="1" applyAlignment="1">
      <alignment vertical="center" shrinkToFit="1"/>
    </xf>
    <xf numFmtId="165" fontId="3" fillId="27" borderId="17" xfId="80" applyNumberFormat="1" applyFont="1" applyFill="1" applyBorder="1" applyAlignment="1">
      <alignment horizontal="center" vertical="center" shrinkToFit="1"/>
    </xf>
    <xf numFmtId="165" fontId="3" fillId="0" borderId="18" xfId="80" applyNumberFormat="1" applyFont="1" applyFill="1" applyBorder="1" applyAlignment="1">
      <alignment vertical="center" shrinkToFit="1"/>
    </xf>
    <xf numFmtId="165" fontId="3" fillId="0" borderId="16" xfId="80" applyNumberFormat="1" applyFont="1" applyFill="1" applyBorder="1" applyAlignment="1">
      <alignment vertical="center" shrinkToFit="1"/>
    </xf>
    <xf numFmtId="165" fontId="3" fillId="27" borderId="16" xfId="80" applyNumberFormat="1" applyFont="1" applyFill="1" applyBorder="1" applyAlignment="1">
      <alignment horizontal="center" vertical="center" shrinkToFit="1"/>
    </xf>
    <xf numFmtId="165" fontId="4" fillId="27" borderId="16" xfId="80" applyNumberFormat="1" applyFont="1" applyFill="1" applyBorder="1" applyAlignment="1">
      <alignment horizontal="center" vertical="center" shrinkToFit="1"/>
    </xf>
    <xf numFmtId="165" fontId="4" fillId="0" borderId="18" xfId="80" applyNumberFormat="1" applyFont="1" applyFill="1" applyBorder="1" applyAlignment="1">
      <alignment horizontal="center" vertical="center" shrinkToFit="1"/>
    </xf>
    <xf numFmtId="165" fontId="4" fillId="0" borderId="16" xfId="80" applyNumberFormat="1" applyFont="1" applyFill="1" applyBorder="1" applyAlignment="1">
      <alignment horizontal="center" vertical="center" shrinkToFit="1"/>
    </xf>
    <xf numFmtId="165" fontId="3" fillId="0" borderId="18" xfId="80" applyNumberFormat="1" applyFont="1" applyFill="1" applyBorder="1" applyAlignment="1">
      <alignment horizontal="center" vertical="center" shrinkToFit="1"/>
    </xf>
    <xf numFmtId="165" fontId="3" fillId="0" borderId="16" xfId="80" applyNumberFormat="1" applyFont="1" applyFill="1" applyBorder="1" applyAlignment="1">
      <alignment horizontal="center" vertical="center" shrinkToFit="1"/>
    </xf>
    <xf numFmtId="165" fontId="3" fillId="27" borderId="15" xfId="80" applyNumberFormat="1" applyFont="1" applyFill="1" applyBorder="1" applyAlignment="1">
      <alignment horizontal="center" vertical="center" shrinkToFit="1"/>
    </xf>
    <xf numFmtId="165" fontId="3" fillId="27" borderId="19" xfId="80" applyNumberFormat="1" applyFont="1" applyFill="1" applyBorder="1" applyAlignment="1">
      <alignment vertical="center" shrinkToFit="1"/>
    </xf>
    <xf numFmtId="165" fontId="3" fillId="27" borderId="20" xfId="80" applyNumberFormat="1" applyFont="1" applyFill="1" applyBorder="1" applyAlignment="1">
      <alignment horizontal="center" vertical="center" shrinkToFit="1"/>
    </xf>
    <xf numFmtId="165" fontId="3" fillId="0" borderId="21" xfId="80" applyNumberFormat="1" applyFont="1" applyFill="1" applyBorder="1" applyAlignment="1">
      <alignment vertical="center" shrinkToFit="1"/>
    </xf>
    <xf numFmtId="165" fontId="3" fillId="0" borderId="19" xfId="80" applyNumberFormat="1" applyFont="1" applyFill="1" applyBorder="1" applyAlignment="1">
      <alignment vertical="center" shrinkToFit="1"/>
    </xf>
    <xf numFmtId="1" fontId="31" fillId="27" borderId="11" xfId="80" applyNumberFormat="1" applyFont="1" applyFill="1" applyBorder="1" applyAlignment="1">
      <alignment horizontal="center" vertical="center" wrapText="1"/>
    </xf>
    <xf numFmtId="1" fontId="31" fillId="27" borderId="12" xfId="80" applyNumberFormat="1" applyFont="1" applyFill="1" applyBorder="1" applyAlignment="1">
      <alignment horizontal="center" vertical="center" wrapText="1"/>
    </xf>
    <xf numFmtId="1" fontId="31" fillId="27" borderId="31" xfId="8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wrapText="1"/>
      <protection locked="0"/>
    </xf>
    <xf numFmtId="0" fontId="43" fillId="0" borderId="38" xfId="0" applyFont="1" applyBorder="1" applyAlignment="1">
      <alignment wrapText="1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39" fillId="0" borderId="40" xfId="0" applyFont="1" applyBorder="1" applyAlignment="1" applyProtection="1">
      <alignment horizontal="center" vertical="center" wrapText="1"/>
      <protection locked="0"/>
    </xf>
  </cellXfs>
  <cellStyles count="106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Obliczenia 2" xfId="84"/>
    <cellStyle name="Obliczenia 3" xfId="85"/>
    <cellStyle name="Procentowy" xfId="86" builtinId="5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Suma 2" xfId="94"/>
    <cellStyle name="Suma 3" xfId="95"/>
    <cellStyle name="Tekst objaśnienia 2" xfId="96"/>
    <cellStyle name="Tekst objaśnienia 3" xfId="97"/>
    <cellStyle name="Tekst ostrzeżenia 2" xfId="98"/>
    <cellStyle name="Tekst ostrzeżenia 3" xfId="99"/>
    <cellStyle name="Tytuł" xfId="100" builtinId="15" customBuiltin="1"/>
    <cellStyle name="Tytuł 2" xfId="101"/>
    <cellStyle name="Uwaga 2" xfId="102"/>
    <cellStyle name="Uwaga 3" xfId="103"/>
    <cellStyle name="Złe 2" xfId="104"/>
    <cellStyle name="Złe 3" xfId="105"/>
  </cellStyles>
  <dxfs count="11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T323"/>
  <sheetViews>
    <sheetView tabSelected="1" zoomScaleNormal="100" zoomScaleSheetLayoutView="100" workbookViewId="0">
      <pane xSplit="4" ySplit="3" topLeftCell="E4" activePane="bottomRight" state="frozen"/>
      <selection activeCell="I134" sqref="I134"/>
      <selection pane="topRight" activeCell="I134" sqref="I134"/>
      <selection pane="bottomLeft" activeCell="I134" sqref="I134"/>
      <selection pane="bottomRight" activeCell="J2" sqref="J2:L2"/>
    </sheetView>
  </sheetViews>
  <sheetFormatPr defaultRowHeight="14.25" outlineLevelRow="3" outlineLevelCol="1"/>
  <cols>
    <col min="1" max="1" width="4.25" style="218" customWidth="1" outlineLevel="1"/>
    <col min="2" max="2" width="6.625" style="1" customWidth="1"/>
    <col min="3" max="3" width="7.25" style="1" hidden="1" customWidth="1"/>
    <col min="4" max="4" width="70.625" style="1" customWidth="1"/>
    <col min="5" max="8" width="14" style="1" customWidth="1" outlineLevel="1"/>
    <col min="9" max="19" width="14" style="1" customWidth="1"/>
  </cols>
  <sheetData>
    <row r="1" spans="1:20">
      <c r="E1" s="252"/>
      <c r="F1" s="252"/>
      <c r="G1" s="252"/>
      <c r="H1" s="252"/>
      <c r="K1" s="78"/>
      <c r="L1" s="75"/>
      <c r="M1" s="75"/>
      <c r="N1" s="75"/>
      <c r="O1" s="75"/>
      <c r="P1" s="75"/>
      <c r="Q1" s="75"/>
      <c r="R1" s="75"/>
      <c r="S1" s="75"/>
      <c r="T1" s="76"/>
    </row>
    <row r="2" spans="1:20" ht="24" customHeight="1">
      <c r="B2" s="282" t="s">
        <v>13</v>
      </c>
      <c r="C2" s="283"/>
      <c r="D2" s="283"/>
      <c r="E2" s="281" t="s">
        <v>408</v>
      </c>
      <c r="F2" s="281"/>
      <c r="G2" s="181" t="s">
        <v>407</v>
      </c>
      <c r="H2" s="181" t="s">
        <v>408</v>
      </c>
      <c r="I2" s="188" t="e">
        <f ca="1">RT_WstawParametr_tytul()</f>
        <v>#NAME?</v>
      </c>
      <c r="J2" s="284" t="s">
        <v>16</v>
      </c>
      <c r="K2" s="284"/>
      <c r="L2" s="284"/>
      <c r="M2" s="180"/>
      <c r="N2" s="75"/>
      <c r="O2" s="75"/>
      <c r="P2" s="75"/>
      <c r="Q2" s="75"/>
      <c r="R2" s="75"/>
      <c r="S2" s="75"/>
      <c r="T2" s="76"/>
    </row>
    <row r="3" spans="1:20">
      <c r="A3" s="222" t="s">
        <v>436</v>
      </c>
      <c r="B3" s="28" t="s">
        <v>17</v>
      </c>
      <c r="C3" s="201"/>
      <c r="D3" s="200" t="s">
        <v>18</v>
      </c>
      <c r="E3" s="277">
        <f>+F3-1</f>
        <v>2010</v>
      </c>
      <c r="F3" s="278">
        <f>+G3-1</f>
        <v>2011</v>
      </c>
      <c r="G3" s="278">
        <f>DaneZrodlowe!$A$4-1</f>
        <v>2012</v>
      </c>
      <c r="H3" s="279">
        <f>+DaneZrodlowe!$A$4-1</f>
        <v>2012</v>
      </c>
      <c r="I3" s="32">
        <f>+DaneZrodlowe!$N$1</f>
        <v>2013</v>
      </c>
      <c r="J3" s="29">
        <f>+I3+1</f>
        <v>2014</v>
      </c>
      <c r="K3" s="29">
        <f t="shared" ref="K3:S3" si="0">+J3+1</f>
        <v>2015</v>
      </c>
      <c r="L3" s="29">
        <f t="shared" si="0"/>
        <v>2016</v>
      </c>
      <c r="M3" s="29">
        <f t="shared" si="0"/>
        <v>2017</v>
      </c>
      <c r="N3" s="29">
        <f t="shared" si="0"/>
        <v>2018</v>
      </c>
      <c r="O3" s="29">
        <f t="shared" si="0"/>
        <v>2019</v>
      </c>
      <c r="P3" s="29">
        <f t="shared" si="0"/>
        <v>2020</v>
      </c>
      <c r="Q3" s="29">
        <f t="shared" si="0"/>
        <v>2021</v>
      </c>
      <c r="R3" s="29">
        <f t="shared" si="0"/>
        <v>2022</v>
      </c>
      <c r="S3" s="29">
        <f t="shared" si="0"/>
        <v>2023</v>
      </c>
      <c r="T3" s="30"/>
    </row>
    <row r="4" spans="1:20" ht="15" customHeight="1" outlineLevel="1">
      <c r="A4" s="218" t="s">
        <v>44</v>
      </c>
      <c r="B4" s="33">
        <v>1</v>
      </c>
      <c r="C4" s="219" t="s">
        <v>39</v>
      </c>
      <c r="D4" s="203" t="s">
        <v>39</v>
      </c>
      <c r="E4" s="69">
        <f>31484876.01</f>
        <v>31484876.010000002</v>
      </c>
      <c r="F4" s="36">
        <f>31063442.33</f>
        <v>31063442.329999998</v>
      </c>
      <c r="G4" s="36">
        <f>35624119.93</f>
        <v>35624119.93</v>
      </c>
      <c r="H4" s="37">
        <f>34438420.27</f>
        <v>34438420.270000003</v>
      </c>
      <c r="I4" s="38">
        <f>37144207.17</f>
        <v>37144207.170000002</v>
      </c>
      <c r="J4" s="39">
        <f>31500000.71</f>
        <v>31500000.710000001</v>
      </c>
      <c r="K4" s="39">
        <f>31500000</f>
        <v>31500000</v>
      </c>
      <c r="L4" s="39">
        <f>31500000</f>
        <v>31500000</v>
      </c>
      <c r="M4" s="39">
        <f>32000000</f>
        <v>32000000</v>
      </c>
      <c r="N4" s="39">
        <f>32500000</f>
        <v>32500000</v>
      </c>
      <c r="O4" s="39">
        <f>33000000</f>
        <v>33000000</v>
      </c>
      <c r="P4" s="39">
        <f>33500000</f>
        <v>33500000</v>
      </c>
      <c r="Q4" s="39">
        <f>34000000</f>
        <v>34000000</v>
      </c>
      <c r="R4" s="39">
        <f>34500000</f>
        <v>34500000</v>
      </c>
      <c r="S4" s="39">
        <f>35000000</f>
        <v>35000000</v>
      </c>
      <c r="T4" s="31"/>
    </row>
    <row r="5" spans="1:20" ht="15" customHeight="1" outlineLevel="2">
      <c r="A5" s="218" t="s">
        <v>44</v>
      </c>
      <c r="B5" s="34" t="s">
        <v>174</v>
      </c>
      <c r="C5" s="204" t="s">
        <v>444</v>
      </c>
      <c r="D5" s="205" t="s">
        <v>236</v>
      </c>
      <c r="E5" s="70">
        <f>25893786.18</f>
        <v>25893786.18</v>
      </c>
      <c r="F5" s="40">
        <f>28412491.19</f>
        <v>28412491.190000001</v>
      </c>
      <c r="G5" s="40">
        <f>29915724.45</f>
        <v>29915724.449999999</v>
      </c>
      <c r="H5" s="41">
        <f>29417886.46</f>
        <v>29417886.460000001</v>
      </c>
      <c r="I5" s="42">
        <f>32469863.81</f>
        <v>32469863.809999999</v>
      </c>
      <c r="J5" s="43">
        <f>31500000.71</f>
        <v>31500000.710000001</v>
      </c>
      <c r="K5" s="43">
        <f>31500000</f>
        <v>31500000</v>
      </c>
      <c r="L5" s="43">
        <f>31500000</f>
        <v>31500000</v>
      </c>
      <c r="M5" s="43">
        <f>32000000</f>
        <v>32000000</v>
      </c>
      <c r="N5" s="43">
        <f>32500000</f>
        <v>32500000</v>
      </c>
      <c r="O5" s="43">
        <f>33000000</f>
        <v>33000000</v>
      </c>
      <c r="P5" s="43">
        <f>33500000</f>
        <v>33500000</v>
      </c>
      <c r="Q5" s="43">
        <f>34000000</f>
        <v>34000000</v>
      </c>
      <c r="R5" s="43">
        <f>34500000</f>
        <v>34500000</v>
      </c>
      <c r="S5" s="43">
        <f>35000000</f>
        <v>35000000</v>
      </c>
    </row>
    <row r="6" spans="1:20" ht="15" customHeight="1" outlineLevel="3">
      <c r="B6" s="34" t="s">
        <v>54</v>
      </c>
      <c r="C6" s="204" t="s">
        <v>225</v>
      </c>
      <c r="D6" s="206" t="s">
        <v>225</v>
      </c>
      <c r="E6" s="70">
        <f>0</f>
        <v>0</v>
      </c>
      <c r="F6" s="40">
        <f>0</f>
        <v>0</v>
      </c>
      <c r="G6" s="40">
        <f>0</f>
        <v>0</v>
      </c>
      <c r="H6" s="41">
        <f>0</f>
        <v>0</v>
      </c>
      <c r="I6" s="42">
        <f>6700000</f>
        <v>6700000</v>
      </c>
      <c r="J6" s="43">
        <f>7000000</f>
        <v>7000000</v>
      </c>
      <c r="K6" s="43">
        <f>7300000</f>
        <v>7300000</v>
      </c>
      <c r="L6" s="43">
        <f>7600000</f>
        <v>7600000</v>
      </c>
      <c r="M6" s="43">
        <f>7900000</f>
        <v>7900000</v>
      </c>
      <c r="N6" s="43">
        <f>8200000</f>
        <v>8200000</v>
      </c>
      <c r="O6" s="43">
        <f>8500000</f>
        <v>8500000</v>
      </c>
      <c r="P6" s="43">
        <f>8800000</f>
        <v>8800000</v>
      </c>
      <c r="Q6" s="43">
        <f>9100000</f>
        <v>9100000</v>
      </c>
      <c r="R6" s="43">
        <f>9400000</f>
        <v>9400000</v>
      </c>
      <c r="S6" s="43">
        <f>9700000</f>
        <v>9700000</v>
      </c>
    </row>
    <row r="7" spans="1:20" ht="15" customHeight="1" outlineLevel="3">
      <c r="B7" s="34" t="s">
        <v>56</v>
      </c>
      <c r="C7" s="204" t="s">
        <v>226</v>
      </c>
      <c r="D7" s="206" t="s">
        <v>226</v>
      </c>
      <c r="E7" s="70">
        <f>0</f>
        <v>0</v>
      </c>
      <c r="F7" s="40">
        <f>0</f>
        <v>0</v>
      </c>
      <c r="G7" s="40">
        <f>0</f>
        <v>0</v>
      </c>
      <c r="H7" s="41">
        <f>0</f>
        <v>0</v>
      </c>
      <c r="I7" s="42">
        <f>120000</f>
        <v>120000</v>
      </c>
      <c r="J7" s="43">
        <f>120000</f>
        <v>120000</v>
      </c>
      <c r="K7" s="43">
        <f>125000</f>
        <v>125000</v>
      </c>
      <c r="L7" s="43">
        <f>130000</f>
        <v>130000</v>
      </c>
      <c r="M7" s="43">
        <f>140000</f>
        <v>140000</v>
      </c>
      <c r="N7" s="43">
        <f>150000</f>
        <v>150000</v>
      </c>
      <c r="O7" s="43">
        <f>160000</f>
        <v>160000</v>
      </c>
      <c r="P7" s="43">
        <f>170000</f>
        <v>170000</v>
      </c>
      <c r="Q7" s="43">
        <f>180000</f>
        <v>180000</v>
      </c>
      <c r="R7" s="43">
        <f>190000</f>
        <v>190000</v>
      </c>
      <c r="S7" s="43">
        <f>200000</f>
        <v>200000</v>
      </c>
    </row>
    <row r="8" spans="1:20" ht="15" customHeight="1" outlineLevel="3">
      <c r="B8" s="34" t="s">
        <v>58</v>
      </c>
      <c r="C8" s="204" t="s">
        <v>230</v>
      </c>
      <c r="D8" s="206" t="s">
        <v>230</v>
      </c>
      <c r="E8" s="70">
        <f>0</f>
        <v>0</v>
      </c>
      <c r="F8" s="40">
        <f>0</f>
        <v>0</v>
      </c>
      <c r="G8" s="40">
        <f>0</f>
        <v>0</v>
      </c>
      <c r="H8" s="41">
        <f>0</f>
        <v>0</v>
      </c>
      <c r="I8" s="42">
        <f>5853743.3</f>
        <v>5853743.2999999998</v>
      </c>
      <c r="J8" s="43">
        <f>6300000</f>
        <v>6300000</v>
      </c>
      <c r="K8" s="43">
        <f>6450000</f>
        <v>6450000</v>
      </c>
      <c r="L8" s="43">
        <f>6600000</f>
        <v>6600000</v>
      </c>
      <c r="M8" s="43">
        <f>6750000</f>
        <v>6750000</v>
      </c>
      <c r="N8" s="43">
        <f>6900000</f>
        <v>6900000</v>
      </c>
      <c r="O8" s="43">
        <f>7050000</f>
        <v>7050000</v>
      </c>
      <c r="P8" s="43">
        <f>7200000</f>
        <v>7200000</v>
      </c>
      <c r="Q8" s="43">
        <f>7350000</f>
        <v>7350000</v>
      </c>
      <c r="R8" s="43">
        <f>7500000</f>
        <v>7500000</v>
      </c>
      <c r="S8" s="43">
        <f>7650000</f>
        <v>7650000</v>
      </c>
    </row>
    <row r="9" spans="1:20" ht="15" customHeight="1" outlineLevel="3">
      <c r="B9" s="34" t="s">
        <v>60</v>
      </c>
      <c r="C9" s="204" t="s">
        <v>227</v>
      </c>
      <c r="D9" s="207" t="s">
        <v>227</v>
      </c>
      <c r="E9" s="70">
        <f>0</f>
        <v>0</v>
      </c>
      <c r="F9" s="40">
        <f>0</f>
        <v>0</v>
      </c>
      <c r="G9" s="40">
        <f>0</f>
        <v>0</v>
      </c>
      <c r="H9" s="41">
        <f>0</f>
        <v>0</v>
      </c>
      <c r="I9" s="42">
        <f>3722743.3</f>
        <v>3722743.3</v>
      </c>
      <c r="J9" s="43">
        <f>3900000</f>
        <v>3900000</v>
      </c>
      <c r="K9" s="43">
        <f>4100000</f>
        <v>4100000</v>
      </c>
      <c r="L9" s="43">
        <f>4300000</f>
        <v>4300000</v>
      </c>
      <c r="M9" s="43">
        <f>4500000</f>
        <v>4500000</v>
      </c>
      <c r="N9" s="43">
        <f>4700000</f>
        <v>4700000</v>
      </c>
      <c r="O9" s="43">
        <f>4900000</f>
        <v>4900000</v>
      </c>
      <c r="P9" s="43">
        <f>5100000</f>
        <v>5100000</v>
      </c>
      <c r="Q9" s="43">
        <f>5300000</f>
        <v>5300000</v>
      </c>
      <c r="R9" s="43">
        <f>5500000</f>
        <v>5500000</v>
      </c>
      <c r="S9" s="43">
        <f>5700000</f>
        <v>5700000</v>
      </c>
    </row>
    <row r="10" spans="1:20" ht="15" customHeight="1" outlineLevel="3">
      <c r="B10" s="34" t="s">
        <v>62</v>
      </c>
      <c r="C10" s="204" t="s">
        <v>228</v>
      </c>
      <c r="D10" s="206" t="s">
        <v>228</v>
      </c>
      <c r="E10" s="70">
        <f>0</f>
        <v>0</v>
      </c>
      <c r="F10" s="40">
        <f>0</f>
        <v>0</v>
      </c>
      <c r="G10" s="40">
        <f>0</f>
        <v>0</v>
      </c>
      <c r="H10" s="41">
        <f>0</f>
        <v>0</v>
      </c>
      <c r="I10" s="42">
        <f>7466452</f>
        <v>7466452</v>
      </c>
      <c r="J10" s="43">
        <f>8000000</f>
        <v>8000000</v>
      </c>
      <c r="K10" s="43">
        <f>7750000</f>
        <v>7750000</v>
      </c>
      <c r="L10" s="43">
        <f>7900000</f>
        <v>7900000</v>
      </c>
      <c r="M10" s="43">
        <f>8050000</f>
        <v>8050000</v>
      </c>
      <c r="N10" s="43">
        <f>8200000</f>
        <v>8200000</v>
      </c>
      <c r="O10" s="43">
        <f>8350000</f>
        <v>8350000</v>
      </c>
      <c r="P10" s="43">
        <f>8500000</f>
        <v>8500000</v>
      </c>
      <c r="Q10" s="43">
        <f>8700000</f>
        <v>8700000</v>
      </c>
      <c r="R10" s="43">
        <f>8900000</f>
        <v>8900000</v>
      </c>
      <c r="S10" s="43">
        <f>9100000</f>
        <v>9100000</v>
      </c>
    </row>
    <row r="11" spans="1:20" ht="15" customHeight="1" outlineLevel="3">
      <c r="B11" s="34" t="s">
        <v>64</v>
      </c>
      <c r="C11" s="204" t="s">
        <v>229</v>
      </c>
      <c r="D11" s="206" t="s">
        <v>229</v>
      </c>
      <c r="E11" s="70">
        <f>0</f>
        <v>0</v>
      </c>
      <c r="F11" s="40">
        <f>0</f>
        <v>0</v>
      </c>
      <c r="G11" s="40">
        <f>0</f>
        <v>0</v>
      </c>
      <c r="H11" s="41">
        <f>0</f>
        <v>0</v>
      </c>
      <c r="I11" s="42">
        <f>8401953.51</f>
        <v>8401953.5099999998</v>
      </c>
      <c r="J11" s="43">
        <f>6000000</f>
        <v>6000000</v>
      </c>
      <c r="K11" s="43">
        <f>6100000</f>
        <v>6100000</v>
      </c>
      <c r="L11" s="43">
        <f>6200000</f>
        <v>6200000</v>
      </c>
      <c r="M11" s="43">
        <f>6300000</f>
        <v>6300000</v>
      </c>
      <c r="N11" s="43">
        <f>6400000</f>
        <v>6400000</v>
      </c>
      <c r="O11" s="43">
        <f>6500000</f>
        <v>6500000</v>
      </c>
      <c r="P11" s="43">
        <f>6600000</f>
        <v>6600000</v>
      </c>
      <c r="Q11" s="43">
        <f>6700000</f>
        <v>6700000</v>
      </c>
      <c r="R11" s="43">
        <f>6800000</f>
        <v>6800000</v>
      </c>
      <c r="S11" s="43">
        <f>6900000</f>
        <v>6900000</v>
      </c>
    </row>
    <row r="12" spans="1:20" ht="15" customHeight="1" outlineLevel="2">
      <c r="A12" s="218" t="s">
        <v>44</v>
      </c>
      <c r="B12" s="34" t="s">
        <v>175</v>
      </c>
      <c r="C12" s="204" t="s">
        <v>445</v>
      </c>
      <c r="D12" s="205" t="s">
        <v>42</v>
      </c>
      <c r="E12" s="70">
        <f>5591089.83</f>
        <v>5591089.8300000001</v>
      </c>
      <c r="F12" s="40">
        <f>2650951.14</f>
        <v>2650951.14</v>
      </c>
      <c r="G12" s="40">
        <f>5708395.48</f>
        <v>5708395.4800000004</v>
      </c>
      <c r="H12" s="41">
        <f>5020533.81</f>
        <v>5020533.8099999996</v>
      </c>
      <c r="I12" s="42">
        <f>4674343.36</f>
        <v>4674343.3600000003</v>
      </c>
      <c r="J12" s="43">
        <f>0</f>
        <v>0</v>
      </c>
      <c r="K12" s="43">
        <f>0</f>
        <v>0</v>
      </c>
      <c r="L12" s="43">
        <f>0</f>
        <v>0</v>
      </c>
      <c r="M12" s="43">
        <f>0</f>
        <v>0</v>
      </c>
      <c r="N12" s="43">
        <f>0</f>
        <v>0</v>
      </c>
      <c r="O12" s="43">
        <f>0</f>
        <v>0</v>
      </c>
      <c r="P12" s="43">
        <f>0</f>
        <v>0</v>
      </c>
      <c r="Q12" s="43">
        <f>0</f>
        <v>0</v>
      </c>
      <c r="R12" s="43">
        <f>0</f>
        <v>0</v>
      </c>
      <c r="S12" s="43">
        <f>0</f>
        <v>0</v>
      </c>
    </row>
    <row r="13" spans="1:20" ht="15" customHeight="1" outlineLevel="3">
      <c r="A13" s="218" t="s">
        <v>44</v>
      </c>
      <c r="B13" s="34" t="s">
        <v>67</v>
      </c>
      <c r="C13" s="204" t="s">
        <v>447</v>
      </c>
      <c r="D13" s="206" t="s">
        <v>43</v>
      </c>
      <c r="E13" s="70">
        <f>1337141.05</f>
        <v>1337141.05</v>
      </c>
      <c r="F13" s="40">
        <f>26005.76</f>
        <v>26005.759999999998</v>
      </c>
      <c r="G13" s="40">
        <f>100000</f>
        <v>100000</v>
      </c>
      <c r="H13" s="41">
        <f>159888.32</f>
        <v>159888.32000000001</v>
      </c>
      <c r="I13" s="42">
        <f>125000</f>
        <v>125000</v>
      </c>
      <c r="J13" s="43">
        <f>0</f>
        <v>0</v>
      </c>
      <c r="K13" s="43">
        <f>0</f>
        <v>0</v>
      </c>
      <c r="L13" s="43">
        <f>0</f>
        <v>0</v>
      </c>
      <c r="M13" s="43">
        <f>0</f>
        <v>0</v>
      </c>
      <c r="N13" s="43">
        <f>0</f>
        <v>0</v>
      </c>
      <c r="O13" s="43">
        <f>0</f>
        <v>0</v>
      </c>
      <c r="P13" s="43">
        <f>0</f>
        <v>0</v>
      </c>
      <c r="Q13" s="43">
        <f>0</f>
        <v>0</v>
      </c>
      <c r="R13" s="43">
        <f>0</f>
        <v>0</v>
      </c>
      <c r="S13" s="43">
        <f>0</f>
        <v>0</v>
      </c>
    </row>
    <row r="14" spans="1:20" ht="15" customHeight="1" outlineLevel="3">
      <c r="B14" s="34" t="s">
        <v>69</v>
      </c>
      <c r="C14" s="204" t="s">
        <v>231</v>
      </c>
      <c r="D14" s="206" t="s">
        <v>231</v>
      </c>
      <c r="E14" s="70">
        <f>0</f>
        <v>0</v>
      </c>
      <c r="F14" s="40">
        <f>0</f>
        <v>0</v>
      </c>
      <c r="G14" s="40">
        <f>0</f>
        <v>0</v>
      </c>
      <c r="H14" s="41">
        <f>0</f>
        <v>0</v>
      </c>
      <c r="I14" s="42">
        <f>4381623.36</f>
        <v>4381623.3600000003</v>
      </c>
      <c r="J14" s="43">
        <f>0</f>
        <v>0</v>
      </c>
      <c r="K14" s="43">
        <f>0</f>
        <v>0</v>
      </c>
      <c r="L14" s="43">
        <f>0</f>
        <v>0</v>
      </c>
      <c r="M14" s="43">
        <f>0</f>
        <v>0</v>
      </c>
      <c r="N14" s="43">
        <f>0</f>
        <v>0</v>
      </c>
      <c r="O14" s="43">
        <f>0</f>
        <v>0</v>
      </c>
      <c r="P14" s="43">
        <f>0</f>
        <v>0</v>
      </c>
      <c r="Q14" s="43">
        <f>0</f>
        <v>0</v>
      </c>
      <c r="R14" s="43">
        <f>0</f>
        <v>0</v>
      </c>
      <c r="S14" s="43">
        <f>0</f>
        <v>0</v>
      </c>
    </row>
    <row r="15" spans="1:20" ht="15" customHeight="1" outlineLevel="1">
      <c r="A15" s="218" t="s">
        <v>44</v>
      </c>
      <c r="B15" s="33">
        <v>2</v>
      </c>
      <c r="C15" s="219" t="s">
        <v>34</v>
      </c>
      <c r="D15" s="203" t="s">
        <v>34</v>
      </c>
      <c r="E15" s="69">
        <f>34609335.7</f>
        <v>34609335.700000003</v>
      </c>
      <c r="F15" s="36">
        <f>31037203.93</f>
        <v>31037203.93</v>
      </c>
      <c r="G15" s="36">
        <f>40495660.86</f>
        <v>40495660.859999999</v>
      </c>
      <c r="H15" s="37">
        <f>36384626.19</f>
        <v>36384626.189999998</v>
      </c>
      <c r="I15" s="38">
        <f>39751618.39</f>
        <v>39751618.390000001</v>
      </c>
      <c r="J15" s="39">
        <f>30561940.55</f>
        <v>30561940.550000001</v>
      </c>
      <c r="K15" s="39">
        <f>30284308</f>
        <v>30284308</v>
      </c>
      <c r="L15" s="39">
        <f>29934304</f>
        <v>29934304</v>
      </c>
      <c r="M15" s="39">
        <f>30084300</f>
        <v>30084300</v>
      </c>
      <c r="N15" s="39">
        <f>30821796</f>
        <v>30821796</v>
      </c>
      <c r="O15" s="39">
        <f>31389996</f>
        <v>31389996</v>
      </c>
      <c r="P15" s="39">
        <f>31889996</f>
        <v>31889996</v>
      </c>
      <c r="Q15" s="39">
        <f>32389996</f>
        <v>32389996</v>
      </c>
      <c r="R15" s="39">
        <f>32849996</f>
        <v>32849996</v>
      </c>
      <c r="S15" s="39">
        <f>33290000</f>
        <v>33290000</v>
      </c>
      <c r="T15" s="31"/>
    </row>
    <row r="16" spans="1:20" ht="15" customHeight="1" outlineLevel="2">
      <c r="A16" s="218" t="s">
        <v>44</v>
      </c>
      <c r="B16" s="34" t="s">
        <v>176</v>
      </c>
      <c r="C16" s="204" t="s">
        <v>448</v>
      </c>
      <c r="D16" s="205" t="s">
        <v>232</v>
      </c>
      <c r="E16" s="70">
        <f>25207681.97</f>
        <v>25207681.969999999</v>
      </c>
      <c r="F16" s="40">
        <f>26129253.64</f>
        <v>26129253.640000001</v>
      </c>
      <c r="G16" s="40">
        <f>29218500.44</f>
        <v>29218500.440000001</v>
      </c>
      <c r="H16" s="41">
        <f>26785030.3</f>
        <v>26785030.300000001</v>
      </c>
      <c r="I16" s="42">
        <f>31342902.25</f>
        <v>31342902.25</v>
      </c>
      <c r="J16" s="43">
        <f>26878935.15</f>
        <v>26878935.149999999</v>
      </c>
      <c r="K16" s="43">
        <f>27150000</f>
        <v>27150000</v>
      </c>
      <c r="L16" s="43">
        <f>27420000</f>
        <v>27420000</v>
      </c>
      <c r="M16" s="43">
        <f>27790000</f>
        <v>27790000</v>
      </c>
      <c r="N16" s="43">
        <f>28230000</f>
        <v>28230000</v>
      </c>
      <c r="O16" s="43">
        <f>28670000</f>
        <v>28670000</v>
      </c>
      <c r="P16" s="43">
        <f>29140000</f>
        <v>29140000</v>
      </c>
      <c r="Q16" s="43">
        <f>29610000</f>
        <v>29610000</v>
      </c>
      <c r="R16" s="43">
        <f>30060000</f>
        <v>30060000</v>
      </c>
      <c r="S16" s="43">
        <f>30560000</f>
        <v>30560000</v>
      </c>
    </row>
    <row r="17" spans="1:20" ht="15" customHeight="1" outlineLevel="3">
      <c r="A17" s="218" t="s">
        <v>44</v>
      </c>
      <c r="B17" s="34" t="s">
        <v>72</v>
      </c>
      <c r="C17" s="204" t="s">
        <v>449</v>
      </c>
      <c r="D17" s="206" t="s">
        <v>233</v>
      </c>
      <c r="E17" s="70">
        <f>0</f>
        <v>0</v>
      </c>
      <c r="F17" s="40">
        <f>0</f>
        <v>0</v>
      </c>
      <c r="G17" s="40">
        <f>0</f>
        <v>0</v>
      </c>
      <c r="H17" s="41">
        <f>0</f>
        <v>0</v>
      </c>
      <c r="I17" s="42">
        <f>0</f>
        <v>0</v>
      </c>
      <c r="J17" s="43">
        <f t="shared" ref="J17:P17" si="1">110000</f>
        <v>110000</v>
      </c>
      <c r="K17" s="43">
        <f t="shared" si="1"/>
        <v>110000</v>
      </c>
      <c r="L17" s="43">
        <f t="shared" si="1"/>
        <v>110000</v>
      </c>
      <c r="M17" s="43">
        <f t="shared" si="1"/>
        <v>110000</v>
      </c>
      <c r="N17" s="43">
        <f t="shared" si="1"/>
        <v>110000</v>
      </c>
      <c r="O17" s="43">
        <f t="shared" si="1"/>
        <v>110000</v>
      </c>
      <c r="P17" s="43">
        <f t="shared" si="1"/>
        <v>110000</v>
      </c>
      <c r="Q17" s="43">
        <f>101000</f>
        <v>101000</v>
      </c>
      <c r="R17" s="43">
        <f>59000</f>
        <v>59000</v>
      </c>
      <c r="S17" s="43">
        <f>59000</f>
        <v>59000</v>
      </c>
    </row>
    <row r="18" spans="1:20" ht="48" customHeight="1" outlineLevel="3">
      <c r="A18" s="218" t="s">
        <v>44</v>
      </c>
      <c r="B18" s="34" t="s">
        <v>74</v>
      </c>
      <c r="C18" s="204" t="s">
        <v>417</v>
      </c>
      <c r="D18" s="207" t="s">
        <v>417</v>
      </c>
      <c r="E18" s="70">
        <f>0</f>
        <v>0</v>
      </c>
      <c r="F18" s="40">
        <f>0</f>
        <v>0</v>
      </c>
      <c r="G18" s="40">
        <f>0</f>
        <v>0</v>
      </c>
      <c r="H18" s="41">
        <f>0</f>
        <v>0</v>
      </c>
      <c r="I18" s="42">
        <f>0</f>
        <v>0</v>
      </c>
      <c r="J18" s="43">
        <f>0</f>
        <v>0</v>
      </c>
      <c r="K18" s="43">
        <f>0</f>
        <v>0</v>
      </c>
      <c r="L18" s="43">
        <f>0</f>
        <v>0</v>
      </c>
      <c r="M18" s="43">
        <f>0</f>
        <v>0</v>
      </c>
      <c r="N18" s="43">
        <f>0</f>
        <v>0</v>
      </c>
      <c r="O18" s="43">
        <f>0</f>
        <v>0</v>
      </c>
      <c r="P18" s="43">
        <f>0</f>
        <v>0</v>
      </c>
      <c r="Q18" s="43">
        <f>0</f>
        <v>0</v>
      </c>
      <c r="R18" s="43">
        <f>0</f>
        <v>0</v>
      </c>
      <c r="S18" s="43">
        <f>0</f>
        <v>0</v>
      </c>
    </row>
    <row r="19" spans="1:20" ht="39" customHeight="1" outlineLevel="3">
      <c r="B19" s="34" t="s">
        <v>76</v>
      </c>
      <c r="C19" s="204" t="s">
        <v>418</v>
      </c>
      <c r="D19" s="206" t="s">
        <v>418</v>
      </c>
      <c r="E19" s="71" t="s">
        <v>44</v>
      </c>
      <c r="F19" s="44" t="s">
        <v>44</v>
      </c>
      <c r="G19" s="44" t="s">
        <v>44</v>
      </c>
      <c r="H19" s="45" t="s">
        <v>44</v>
      </c>
      <c r="I19" s="42">
        <f>0</f>
        <v>0</v>
      </c>
      <c r="J19" s="43">
        <f>0</f>
        <v>0</v>
      </c>
      <c r="K19" s="43">
        <f>0</f>
        <v>0</v>
      </c>
      <c r="L19" s="43">
        <f>0</f>
        <v>0</v>
      </c>
      <c r="M19" s="43">
        <f>0</f>
        <v>0</v>
      </c>
      <c r="N19" s="43">
        <f>0</f>
        <v>0</v>
      </c>
      <c r="O19" s="43">
        <f>0</f>
        <v>0</v>
      </c>
      <c r="P19" s="43">
        <f>0</f>
        <v>0</v>
      </c>
      <c r="Q19" s="43">
        <f>0</f>
        <v>0</v>
      </c>
      <c r="R19" s="43">
        <f>0</f>
        <v>0</v>
      </c>
      <c r="S19" s="43">
        <f>0</f>
        <v>0</v>
      </c>
    </row>
    <row r="20" spans="1:20" ht="15" customHeight="1" outlineLevel="3">
      <c r="A20" s="218" t="s">
        <v>44</v>
      </c>
      <c r="B20" s="34" t="s">
        <v>78</v>
      </c>
      <c r="C20" s="204" t="s">
        <v>454</v>
      </c>
      <c r="D20" s="206" t="s">
        <v>234</v>
      </c>
      <c r="E20" s="70">
        <f>464051.55</f>
        <v>464051.55</v>
      </c>
      <c r="F20" s="40">
        <f>755389.64</f>
        <v>755389.64</v>
      </c>
      <c r="G20" s="40">
        <f>884400</f>
        <v>884400</v>
      </c>
      <c r="H20" s="41">
        <f>791159.57</f>
        <v>791159.57</v>
      </c>
      <c r="I20" s="42">
        <f>700000</f>
        <v>700000</v>
      </c>
      <c r="J20" s="43">
        <f>602000</f>
        <v>602000</v>
      </c>
      <c r="K20" s="43">
        <f>559000</f>
        <v>559000</v>
      </c>
      <c r="L20" s="43">
        <f>503000</f>
        <v>503000</v>
      </c>
      <c r="M20" s="43">
        <f>434000</f>
        <v>434000</v>
      </c>
      <c r="N20" s="43">
        <f>366000</f>
        <v>366000</v>
      </c>
      <c r="O20" s="43">
        <f>302000</f>
        <v>302000</v>
      </c>
      <c r="P20" s="43">
        <f>237000</f>
        <v>237000</v>
      </c>
      <c r="Q20" s="43">
        <f>185000</f>
        <v>185000</v>
      </c>
      <c r="R20" s="43">
        <f>128000</f>
        <v>128000</v>
      </c>
      <c r="S20" s="43">
        <f>69000</f>
        <v>69000</v>
      </c>
    </row>
    <row r="21" spans="1:20" ht="15" customHeight="1" outlineLevel="3">
      <c r="A21" s="218" t="s">
        <v>44</v>
      </c>
      <c r="B21" s="34" t="s">
        <v>80</v>
      </c>
      <c r="C21" s="204" t="s">
        <v>235</v>
      </c>
      <c r="D21" s="207" t="s">
        <v>235</v>
      </c>
      <c r="E21" s="70">
        <f>464051.55</f>
        <v>464051.55</v>
      </c>
      <c r="F21" s="40">
        <f>755389.64</f>
        <v>755389.64</v>
      </c>
      <c r="G21" s="40">
        <f>884400</f>
        <v>884400</v>
      </c>
      <c r="H21" s="41">
        <f>791159.57</f>
        <v>791159.57</v>
      </c>
      <c r="I21" s="42">
        <f>700000</f>
        <v>700000</v>
      </c>
      <c r="J21" s="43">
        <f>602000</f>
        <v>602000</v>
      </c>
      <c r="K21" s="43">
        <f>559000</f>
        <v>559000</v>
      </c>
      <c r="L21" s="43">
        <f>503000</f>
        <v>503000</v>
      </c>
      <c r="M21" s="43">
        <f>434000</f>
        <v>434000</v>
      </c>
      <c r="N21" s="43">
        <f>366000</f>
        <v>366000</v>
      </c>
      <c r="O21" s="43">
        <f>302000</f>
        <v>302000</v>
      </c>
      <c r="P21" s="43">
        <f>237000</f>
        <v>237000</v>
      </c>
      <c r="Q21" s="43">
        <f>185000</f>
        <v>185000</v>
      </c>
      <c r="R21" s="43">
        <f>128000</f>
        <v>128000</v>
      </c>
      <c r="S21" s="43">
        <f>69000</f>
        <v>69000</v>
      </c>
    </row>
    <row r="22" spans="1:20" ht="15" customHeight="1" outlineLevel="2">
      <c r="A22" s="218" t="s">
        <v>44</v>
      </c>
      <c r="B22" s="34" t="s">
        <v>177</v>
      </c>
      <c r="C22" s="204" t="s">
        <v>35</v>
      </c>
      <c r="D22" s="205" t="s">
        <v>35</v>
      </c>
      <c r="E22" s="70">
        <f>9401653.73</f>
        <v>9401653.7300000004</v>
      </c>
      <c r="F22" s="40">
        <f>4907950.29</f>
        <v>4907950.29</v>
      </c>
      <c r="G22" s="40">
        <f>11277160.42</f>
        <v>11277160.42</v>
      </c>
      <c r="H22" s="41">
        <f>9599595.89</f>
        <v>9599595.8900000006</v>
      </c>
      <c r="I22" s="42">
        <f>8408716.14</f>
        <v>8408716.1400000006</v>
      </c>
      <c r="J22" s="43">
        <f>3683005.4</f>
        <v>3683005.4</v>
      </c>
      <c r="K22" s="43">
        <f>3134308</f>
        <v>3134308</v>
      </c>
      <c r="L22" s="43">
        <f>2514304</f>
        <v>2514304</v>
      </c>
      <c r="M22" s="43">
        <f>2294300</f>
        <v>2294300</v>
      </c>
      <c r="N22" s="43">
        <f>2591796</f>
        <v>2591796</v>
      </c>
      <c r="O22" s="43">
        <f>2719996</f>
        <v>2719996</v>
      </c>
      <c r="P22" s="43">
        <f>2749996</f>
        <v>2749996</v>
      </c>
      <c r="Q22" s="43">
        <f>2779996</f>
        <v>2779996</v>
      </c>
      <c r="R22" s="43">
        <f>2789996</f>
        <v>2789996</v>
      </c>
      <c r="S22" s="43">
        <f>2730000</f>
        <v>2730000</v>
      </c>
    </row>
    <row r="23" spans="1:20" ht="15" customHeight="1" outlineLevel="1">
      <c r="A23" s="218" t="s">
        <v>44</v>
      </c>
      <c r="B23" s="33">
        <v>3</v>
      </c>
      <c r="C23" s="219" t="s">
        <v>36</v>
      </c>
      <c r="D23" s="203" t="s">
        <v>36</v>
      </c>
      <c r="E23" s="69">
        <f>-3124459.69</f>
        <v>-3124459.69</v>
      </c>
      <c r="F23" s="36">
        <f>26238.4</f>
        <v>26238.400000000001</v>
      </c>
      <c r="G23" s="36">
        <f>-4871540.93</f>
        <v>-4871540.93</v>
      </c>
      <c r="H23" s="37">
        <f>-1946205.92</f>
        <v>-1946205.92</v>
      </c>
      <c r="I23" s="38">
        <f>-2607411.22</f>
        <v>-2607411.2200000002</v>
      </c>
      <c r="J23" s="39">
        <f>938060.16</f>
        <v>938060.16</v>
      </c>
      <c r="K23" s="39">
        <f>1215692</f>
        <v>1215692</v>
      </c>
      <c r="L23" s="39">
        <f>1565696</f>
        <v>1565696</v>
      </c>
      <c r="M23" s="39">
        <f>1915700</f>
        <v>1915700</v>
      </c>
      <c r="N23" s="39">
        <f>1678204</f>
        <v>1678204</v>
      </c>
      <c r="O23" s="39">
        <f>1610004</f>
        <v>1610004</v>
      </c>
      <c r="P23" s="39">
        <f>1610004</f>
        <v>1610004</v>
      </c>
      <c r="Q23" s="39">
        <f>1610004</f>
        <v>1610004</v>
      </c>
      <c r="R23" s="39">
        <f>1650004</f>
        <v>1650004</v>
      </c>
      <c r="S23" s="39">
        <f>1710000</f>
        <v>1710000</v>
      </c>
      <c r="T23" s="31"/>
    </row>
    <row r="24" spans="1:20" ht="15" customHeight="1" outlineLevel="1">
      <c r="A24" s="218" t="s">
        <v>44</v>
      </c>
      <c r="B24" s="33">
        <v>4</v>
      </c>
      <c r="C24" s="219" t="s">
        <v>37</v>
      </c>
      <c r="D24" s="203" t="s">
        <v>37</v>
      </c>
      <c r="E24" s="69">
        <f>6000000</f>
        <v>6000000</v>
      </c>
      <c r="F24" s="36">
        <f>3600000</f>
        <v>3600000</v>
      </c>
      <c r="G24" s="36">
        <f>6775540.93</f>
        <v>6775540.9299999997</v>
      </c>
      <c r="H24" s="37">
        <f>6456793.84</f>
        <v>6456793.8399999999</v>
      </c>
      <c r="I24" s="38">
        <f>7317411.22</f>
        <v>7317411.2199999997</v>
      </c>
      <c r="J24" s="39">
        <f>0</f>
        <v>0</v>
      </c>
      <c r="K24" s="39">
        <f>0</f>
        <v>0</v>
      </c>
      <c r="L24" s="39">
        <f>0</f>
        <v>0</v>
      </c>
      <c r="M24" s="39">
        <f>0</f>
        <v>0</v>
      </c>
      <c r="N24" s="39">
        <f>0</f>
        <v>0</v>
      </c>
      <c r="O24" s="39">
        <f>0</f>
        <v>0</v>
      </c>
      <c r="P24" s="39">
        <f>0</f>
        <v>0</v>
      </c>
      <c r="Q24" s="39">
        <f>0</f>
        <v>0</v>
      </c>
      <c r="R24" s="39">
        <f>0</f>
        <v>0</v>
      </c>
      <c r="S24" s="39">
        <f>0</f>
        <v>0</v>
      </c>
      <c r="T24" s="31"/>
    </row>
    <row r="25" spans="1:20" ht="15" customHeight="1" outlineLevel="2">
      <c r="A25" s="218" t="s">
        <v>44</v>
      </c>
      <c r="B25" s="34" t="s">
        <v>178</v>
      </c>
      <c r="C25" s="204" t="s">
        <v>237</v>
      </c>
      <c r="D25" s="205" t="s">
        <v>237</v>
      </c>
      <c r="E25" s="70">
        <f>0</f>
        <v>0</v>
      </c>
      <c r="F25" s="40">
        <f>0</f>
        <v>0</v>
      </c>
      <c r="G25" s="40">
        <f>0</f>
        <v>0</v>
      </c>
      <c r="H25" s="41">
        <f>0</f>
        <v>0</v>
      </c>
      <c r="I25" s="42">
        <f>0</f>
        <v>0</v>
      </c>
      <c r="J25" s="43">
        <f>0</f>
        <v>0</v>
      </c>
      <c r="K25" s="43">
        <f>0</f>
        <v>0</v>
      </c>
      <c r="L25" s="43">
        <f>0</f>
        <v>0</v>
      </c>
      <c r="M25" s="43">
        <f>0</f>
        <v>0</v>
      </c>
      <c r="N25" s="43">
        <f>0</f>
        <v>0</v>
      </c>
      <c r="O25" s="43">
        <f>0</f>
        <v>0</v>
      </c>
      <c r="P25" s="43">
        <f>0</f>
        <v>0</v>
      </c>
      <c r="Q25" s="43">
        <f>0</f>
        <v>0</v>
      </c>
      <c r="R25" s="43">
        <f>0</f>
        <v>0</v>
      </c>
      <c r="S25" s="43">
        <f>0</f>
        <v>0</v>
      </c>
    </row>
    <row r="26" spans="1:20" ht="15" customHeight="1" outlineLevel="3">
      <c r="A26" s="218" t="s">
        <v>44</v>
      </c>
      <c r="B26" s="34" t="s">
        <v>84</v>
      </c>
      <c r="C26" s="204" t="s">
        <v>238</v>
      </c>
      <c r="D26" s="206" t="s">
        <v>238</v>
      </c>
      <c r="E26" s="70">
        <f>0</f>
        <v>0</v>
      </c>
      <c r="F26" s="40">
        <f>0</f>
        <v>0</v>
      </c>
      <c r="G26" s="40">
        <f>0</f>
        <v>0</v>
      </c>
      <c r="H26" s="41">
        <f>0</f>
        <v>0</v>
      </c>
      <c r="I26" s="42">
        <f>0</f>
        <v>0</v>
      </c>
      <c r="J26" s="43">
        <f>0</f>
        <v>0</v>
      </c>
      <c r="K26" s="43">
        <f>0</f>
        <v>0</v>
      </c>
      <c r="L26" s="43">
        <f>0</f>
        <v>0</v>
      </c>
      <c r="M26" s="43">
        <f>0</f>
        <v>0</v>
      </c>
      <c r="N26" s="43">
        <f>0</f>
        <v>0</v>
      </c>
      <c r="O26" s="43">
        <f>0</f>
        <v>0</v>
      </c>
      <c r="P26" s="43">
        <f>0</f>
        <v>0</v>
      </c>
      <c r="Q26" s="43">
        <f>0</f>
        <v>0</v>
      </c>
      <c r="R26" s="43">
        <f>0</f>
        <v>0</v>
      </c>
      <c r="S26" s="43">
        <f>0</f>
        <v>0</v>
      </c>
    </row>
    <row r="27" spans="1:20" ht="15" customHeight="1" outlineLevel="2">
      <c r="A27" s="218" t="s">
        <v>44</v>
      </c>
      <c r="B27" s="34" t="s">
        <v>179</v>
      </c>
      <c r="C27" s="204" t="s">
        <v>239</v>
      </c>
      <c r="D27" s="205" t="s">
        <v>239</v>
      </c>
      <c r="E27" s="70">
        <f>0</f>
        <v>0</v>
      </c>
      <c r="F27" s="40">
        <f>0</f>
        <v>0</v>
      </c>
      <c r="G27" s="40">
        <f>2956793.84</f>
        <v>2956793.84</v>
      </c>
      <c r="H27" s="41">
        <f>2956793.84</f>
        <v>2956793.84</v>
      </c>
      <c r="I27" s="42">
        <f>2607411.22</f>
        <v>2607411.2200000002</v>
      </c>
      <c r="J27" s="43">
        <f>0</f>
        <v>0</v>
      </c>
      <c r="K27" s="43">
        <f>0</f>
        <v>0</v>
      </c>
      <c r="L27" s="43">
        <f>0</f>
        <v>0</v>
      </c>
      <c r="M27" s="43">
        <f>0</f>
        <v>0</v>
      </c>
      <c r="N27" s="43">
        <f>0</f>
        <v>0</v>
      </c>
      <c r="O27" s="43">
        <f>0</f>
        <v>0</v>
      </c>
      <c r="P27" s="43">
        <f>0</f>
        <v>0</v>
      </c>
      <c r="Q27" s="43">
        <f>0</f>
        <v>0</v>
      </c>
      <c r="R27" s="43">
        <f>0</f>
        <v>0</v>
      </c>
      <c r="S27" s="43">
        <f>0</f>
        <v>0</v>
      </c>
    </row>
    <row r="28" spans="1:20" ht="15" customHeight="1" outlineLevel="3">
      <c r="A28" s="218" t="s">
        <v>44</v>
      </c>
      <c r="B28" s="34" t="s">
        <v>87</v>
      </c>
      <c r="C28" s="204" t="s">
        <v>238</v>
      </c>
      <c r="D28" s="206" t="s">
        <v>238</v>
      </c>
      <c r="E28" s="70">
        <f>0</f>
        <v>0</v>
      </c>
      <c r="F28" s="40">
        <f>0</f>
        <v>0</v>
      </c>
      <c r="G28" s="40">
        <f>1052793.84</f>
        <v>1052793.8400000001</v>
      </c>
      <c r="H28" s="41">
        <f>1052793.84</f>
        <v>1052793.8400000001</v>
      </c>
      <c r="I28" s="42">
        <f>2607411.22</f>
        <v>2607411.2200000002</v>
      </c>
      <c r="J28" s="43">
        <f>0</f>
        <v>0</v>
      </c>
      <c r="K28" s="43">
        <f>0</f>
        <v>0</v>
      </c>
      <c r="L28" s="43">
        <f>0</f>
        <v>0</v>
      </c>
      <c r="M28" s="43">
        <f>0</f>
        <v>0</v>
      </c>
      <c r="N28" s="43">
        <f>0</f>
        <v>0</v>
      </c>
      <c r="O28" s="43">
        <f>0</f>
        <v>0</v>
      </c>
      <c r="P28" s="43">
        <f>0</f>
        <v>0</v>
      </c>
      <c r="Q28" s="43">
        <f>0</f>
        <v>0</v>
      </c>
      <c r="R28" s="43">
        <f>0</f>
        <v>0</v>
      </c>
      <c r="S28" s="43">
        <f>0</f>
        <v>0</v>
      </c>
    </row>
    <row r="29" spans="1:20" ht="15" customHeight="1" outlineLevel="2">
      <c r="A29" s="218" t="s">
        <v>44</v>
      </c>
      <c r="B29" s="34" t="s">
        <v>180</v>
      </c>
      <c r="C29" s="204" t="s">
        <v>240</v>
      </c>
      <c r="D29" s="205" t="s">
        <v>240</v>
      </c>
      <c r="E29" s="70">
        <f>6000000</f>
        <v>6000000</v>
      </c>
      <c r="F29" s="40">
        <f>3600000</f>
        <v>3600000</v>
      </c>
      <c r="G29" s="40">
        <f>3818747.09</f>
        <v>3818747.09</v>
      </c>
      <c r="H29" s="41">
        <f>3500000</f>
        <v>3500000</v>
      </c>
      <c r="I29" s="42">
        <f>4710000</f>
        <v>4710000</v>
      </c>
      <c r="J29" s="43">
        <f>0</f>
        <v>0</v>
      </c>
      <c r="K29" s="43">
        <f>0</f>
        <v>0</v>
      </c>
      <c r="L29" s="43">
        <f>0</f>
        <v>0</v>
      </c>
      <c r="M29" s="43">
        <f>0</f>
        <v>0</v>
      </c>
      <c r="N29" s="43">
        <f>0</f>
        <v>0</v>
      </c>
      <c r="O29" s="43">
        <f>0</f>
        <v>0</v>
      </c>
      <c r="P29" s="43">
        <f>0</f>
        <v>0</v>
      </c>
      <c r="Q29" s="43">
        <f>0</f>
        <v>0</v>
      </c>
      <c r="R29" s="43">
        <f>0</f>
        <v>0</v>
      </c>
      <c r="S29" s="43">
        <f>0</f>
        <v>0</v>
      </c>
    </row>
    <row r="30" spans="1:20" ht="15" customHeight="1" outlineLevel="3">
      <c r="A30" s="218" t="s">
        <v>44</v>
      </c>
      <c r="B30" s="34" t="s">
        <v>90</v>
      </c>
      <c r="C30" s="204" t="s">
        <v>238</v>
      </c>
      <c r="D30" s="206" t="s">
        <v>238</v>
      </c>
      <c r="E30" s="70">
        <f>0</f>
        <v>0</v>
      </c>
      <c r="F30" s="40">
        <f>0</f>
        <v>0</v>
      </c>
      <c r="G30" s="40">
        <f>0</f>
        <v>0</v>
      </c>
      <c r="H30" s="41">
        <f>0</f>
        <v>0</v>
      </c>
      <c r="I30" s="42">
        <f>0</f>
        <v>0</v>
      </c>
      <c r="J30" s="43">
        <f>0</f>
        <v>0</v>
      </c>
      <c r="K30" s="43">
        <f>0</f>
        <v>0</v>
      </c>
      <c r="L30" s="43">
        <f>0</f>
        <v>0</v>
      </c>
      <c r="M30" s="43">
        <f>0</f>
        <v>0</v>
      </c>
      <c r="N30" s="43">
        <f>0</f>
        <v>0</v>
      </c>
      <c r="O30" s="43">
        <f>0</f>
        <v>0</v>
      </c>
      <c r="P30" s="43">
        <f>0</f>
        <v>0</v>
      </c>
      <c r="Q30" s="43">
        <f>0</f>
        <v>0</v>
      </c>
      <c r="R30" s="43">
        <f>0</f>
        <v>0</v>
      </c>
      <c r="S30" s="43">
        <f>0</f>
        <v>0</v>
      </c>
    </row>
    <row r="31" spans="1:20" ht="15" customHeight="1" outlineLevel="2">
      <c r="A31" s="218" t="s">
        <v>44</v>
      </c>
      <c r="B31" s="34" t="s">
        <v>181</v>
      </c>
      <c r="C31" s="204" t="s">
        <v>241</v>
      </c>
      <c r="D31" s="205" t="s">
        <v>241</v>
      </c>
      <c r="E31" s="70">
        <f>0</f>
        <v>0</v>
      </c>
      <c r="F31" s="40">
        <f>0</f>
        <v>0</v>
      </c>
      <c r="G31" s="40">
        <f>0</f>
        <v>0</v>
      </c>
      <c r="H31" s="41">
        <f>0</f>
        <v>0</v>
      </c>
      <c r="I31" s="42">
        <f>0</f>
        <v>0</v>
      </c>
      <c r="J31" s="43">
        <f>0</f>
        <v>0</v>
      </c>
      <c r="K31" s="43">
        <f>0</f>
        <v>0</v>
      </c>
      <c r="L31" s="43">
        <f>0</f>
        <v>0</v>
      </c>
      <c r="M31" s="43">
        <f>0</f>
        <v>0</v>
      </c>
      <c r="N31" s="43">
        <f>0</f>
        <v>0</v>
      </c>
      <c r="O31" s="43">
        <f>0</f>
        <v>0</v>
      </c>
      <c r="P31" s="43">
        <f>0</f>
        <v>0</v>
      </c>
      <c r="Q31" s="43">
        <f>0</f>
        <v>0</v>
      </c>
      <c r="R31" s="43">
        <f>0</f>
        <v>0</v>
      </c>
      <c r="S31" s="43">
        <f>0</f>
        <v>0</v>
      </c>
    </row>
    <row r="32" spans="1:20" ht="15" customHeight="1" outlineLevel="3">
      <c r="A32" s="218" t="s">
        <v>44</v>
      </c>
      <c r="B32" s="34" t="s">
        <v>92</v>
      </c>
      <c r="C32" s="204" t="s">
        <v>238</v>
      </c>
      <c r="D32" s="206" t="s">
        <v>238</v>
      </c>
      <c r="E32" s="70">
        <f>0</f>
        <v>0</v>
      </c>
      <c r="F32" s="40">
        <f>0</f>
        <v>0</v>
      </c>
      <c r="G32" s="40">
        <f>0</f>
        <v>0</v>
      </c>
      <c r="H32" s="41">
        <f>0</f>
        <v>0</v>
      </c>
      <c r="I32" s="42">
        <f>0</f>
        <v>0</v>
      </c>
      <c r="J32" s="43">
        <f>0</f>
        <v>0</v>
      </c>
      <c r="K32" s="43">
        <f>0</f>
        <v>0</v>
      </c>
      <c r="L32" s="43">
        <f>0</f>
        <v>0</v>
      </c>
      <c r="M32" s="43">
        <f>0</f>
        <v>0</v>
      </c>
      <c r="N32" s="43">
        <f>0</f>
        <v>0</v>
      </c>
      <c r="O32" s="43">
        <f>0</f>
        <v>0</v>
      </c>
      <c r="P32" s="43">
        <f>0</f>
        <v>0</v>
      </c>
      <c r="Q32" s="43">
        <f>0</f>
        <v>0</v>
      </c>
      <c r="R32" s="43">
        <f>0</f>
        <v>0</v>
      </c>
      <c r="S32" s="43">
        <f>0</f>
        <v>0</v>
      </c>
    </row>
    <row r="33" spans="1:20" ht="15" customHeight="1" outlineLevel="1">
      <c r="A33" s="218" t="s">
        <v>44</v>
      </c>
      <c r="B33" s="33">
        <v>5</v>
      </c>
      <c r="C33" s="219" t="s">
        <v>93</v>
      </c>
      <c r="D33" s="203" t="s">
        <v>93</v>
      </c>
      <c r="E33" s="69">
        <f>1916539.28</f>
        <v>1916539.28</v>
      </c>
      <c r="F33" s="36">
        <f>2541577.28</f>
        <v>2541577.2799999998</v>
      </c>
      <c r="G33" s="36">
        <f>1904000</f>
        <v>1904000</v>
      </c>
      <c r="H33" s="37">
        <f>1903176.7</f>
        <v>1903176.7</v>
      </c>
      <c r="I33" s="38">
        <f>4710000</f>
        <v>4710000</v>
      </c>
      <c r="J33" s="39">
        <f>938060.16</f>
        <v>938060.16</v>
      </c>
      <c r="K33" s="39">
        <f>1215692</f>
        <v>1215692</v>
      </c>
      <c r="L33" s="39">
        <f>1565696</f>
        <v>1565696</v>
      </c>
      <c r="M33" s="39">
        <f>1915700</f>
        <v>1915700</v>
      </c>
      <c r="N33" s="39">
        <f>1678204</f>
        <v>1678204</v>
      </c>
      <c r="O33" s="39">
        <f t="shared" ref="O33:Q34" si="2">1610004</f>
        <v>1610004</v>
      </c>
      <c r="P33" s="39">
        <f t="shared" si="2"/>
        <v>1610004</v>
      </c>
      <c r="Q33" s="39">
        <f t="shared" si="2"/>
        <v>1610004</v>
      </c>
      <c r="R33" s="39">
        <f>1650004</f>
        <v>1650004</v>
      </c>
      <c r="S33" s="39">
        <f>1710000</f>
        <v>1710000</v>
      </c>
      <c r="T33" s="31"/>
    </row>
    <row r="34" spans="1:20" ht="15" customHeight="1" outlineLevel="2">
      <c r="A34" s="218" t="s">
        <v>44</v>
      </c>
      <c r="B34" s="34" t="s">
        <v>182</v>
      </c>
      <c r="C34" s="204" t="s">
        <v>455</v>
      </c>
      <c r="D34" s="205" t="s">
        <v>242</v>
      </c>
      <c r="E34" s="70">
        <f>1916539.28</f>
        <v>1916539.28</v>
      </c>
      <c r="F34" s="40">
        <f>2541577.28</f>
        <v>2541577.2799999998</v>
      </c>
      <c r="G34" s="40">
        <f>1904000</f>
        <v>1904000</v>
      </c>
      <c r="H34" s="41">
        <f>1903176.7</f>
        <v>1903176.7</v>
      </c>
      <c r="I34" s="42">
        <f>4710000</f>
        <v>4710000</v>
      </c>
      <c r="J34" s="43">
        <f>938060.16</f>
        <v>938060.16</v>
      </c>
      <c r="K34" s="43">
        <f>1215692</f>
        <v>1215692</v>
      </c>
      <c r="L34" s="43">
        <f>1565696</f>
        <v>1565696</v>
      </c>
      <c r="M34" s="43">
        <f>1915700</f>
        <v>1915700</v>
      </c>
      <c r="N34" s="43">
        <f>1678204</f>
        <v>1678204</v>
      </c>
      <c r="O34" s="43">
        <f t="shared" si="2"/>
        <v>1610004</v>
      </c>
      <c r="P34" s="43">
        <f t="shared" si="2"/>
        <v>1610004</v>
      </c>
      <c r="Q34" s="43">
        <f t="shared" si="2"/>
        <v>1610004</v>
      </c>
      <c r="R34" s="43">
        <f>1650004</f>
        <v>1650004</v>
      </c>
      <c r="S34" s="43">
        <f>1710000</f>
        <v>1710000</v>
      </c>
    </row>
    <row r="35" spans="1:20" ht="62.25" customHeight="1" outlineLevel="3">
      <c r="A35" s="218" t="s">
        <v>44</v>
      </c>
      <c r="B35" s="34" t="s">
        <v>95</v>
      </c>
      <c r="C35" s="204" t="s">
        <v>419</v>
      </c>
      <c r="D35" s="206" t="s">
        <v>419</v>
      </c>
      <c r="E35" s="70">
        <f>0</f>
        <v>0</v>
      </c>
      <c r="F35" s="40">
        <f>0</f>
        <v>0</v>
      </c>
      <c r="G35" s="40">
        <f>0</f>
        <v>0</v>
      </c>
      <c r="H35" s="41">
        <f>0</f>
        <v>0</v>
      </c>
      <c r="I35" s="42">
        <f>0</f>
        <v>0</v>
      </c>
      <c r="J35" s="43">
        <f>0</f>
        <v>0</v>
      </c>
      <c r="K35" s="43">
        <f>0</f>
        <v>0</v>
      </c>
      <c r="L35" s="43">
        <f>0</f>
        <v>0</v>
      </c>
      <c r="M35" s="43">
        <f>0</f>
        <v>0</v>
      </c>
      <c r="N35" s="43">
        <f>0</f>
        <v>0</v>
      </c>
      <c r="O35" s="43">
        <f>0</f>
        <v>0</v>
      </c>
      <c r="P35" s="43">
        <f>0</f>
        <v>0</v>
      </c>
      <c r="Q35" s="43">
        <f>0</f>
        <v>0</v>
      </c>
      <c r="R35" s="43">
        <f>0</f>
        <v>0</v>
      </c>
      <c r="S35" s="43">
        <f>0</f>
        <v>0</v>
      </c>
    </row>
    <row r="36" spans="1:20" ht="25.5" customHeight="1" outlineLevel="3">
      <c r="A36" s="218" t="s">
        <v>44</v>
      </c>
      <c r="B36" s="34" t="s">
        <v>97</v>
      </c>
      <c r="C36" s="204" t="s">
        <v>243</v>
      </c>
      <c r="D36" s="207" t="s">
        <v>243</v>
      </c>
      <c r="E36" s="70">
        <f>0</f>
        <v>0</v>
      </c>
      <c r="F36" s="40">
        <f>0</f>
        <v>0</v>
      </c>
      <c r="G36" s="40">
        <f>0</f>
        <v>0</v>
      </c>
      <c r="H36" s="41">
        <f>0</f>
        <v>0</v>
      </c>
      <c r="I36" s="42">
        <f>0</f>
        <v>0</v>
      </c>
      <c r="J36" s="43">
        <f>0</f>
        <v>0</v>
      </c>
      <c r="K36" s="43">
        <f>0</f>
        <v>0</v>
      </c>
      <c r="L36" s="43">
        <f>0</f>
        <v>0</v>
      </c>
      <c r="M36" s="43">
        <f>0</f>
        <v>0</v>
      </c>
      <c r="N36" s="43">
        <f>0</f>
        <v>0</v>
      </c>
      <c r="O36" s="43">
        <f>0</f>
        <v>0</v>
      </c>
      <c r="P36" s="43">
        <f>0</f>
        <v>0</v>
      </c>
      <c r="Q36" s="43">
        <f>0</f>
        <v>0</v>
      </c>
      <c r="R36" s="43">
        <f>0</f>
        <v>0</v>
      </c>
      <c r="S36" s="43">
        <f>0</f>
        <v>0</v>
      </c>
    </row>
    <row r="37" spans="1:20" ht="15" customHeight="1" outlineLevel="2">
      <c r="B37" s="34" t="s">
        <v>183</v>
      </c>
      <c r="C37" s="204" t="s">
        <v>244</v>
      </c>
      <c r="D37" s="205" t="s">
        <v>244</v>
      </c>
      <c r="E37" s="70">
        <f>0</f>
        <v>0</v>
      </c>
      <c r="F37" s="40">
        <f>0</f>
        <v>0</v>
      </c>
      <c r="G37" s="40">
        <f>0</f>
        <v>0</v>
      </c>
      <c r="H37" s="41">
        <f>0</f>
        <v>0</v>
      </c>
      <c r="I37" s="42">
        <f>0</f>
        <v>0</v>
      </c>
      <c r="J37" s="43">
        <f>0</f>
        <v>0</v>
      </c>
      <c r="K37" s="43">
        <f>0</f>
        <v>0</v>
      </c>
      <c r="L37" s="43">
        <f>0</f>
        <v>0</v>
      </c>
      <c r="M37" s="43">
        <f>0</f>
        <v>0</v>
      </c>
      <c r="N37" s="43">
        <f>0</f>
        <v>0</v>
      </c>
      <c r="O37" s="43">
        <f>0</f>
        <v>0</v>
      </c>
      <c r="P37" s="43">
        <f>0</f>
        <v>0</v>
      </c>
      <c r="Q37" s="43">
        <f>0</f>
        <v>0</v>
      </c>
      <c r="R37" s="43">
        <f>0</f>
        <v>0</v>
      </c>
      <c r="S37" s="43">
        <f>0</f>
        <v>0</v>
      </c>
    </row>
    <row r="38" spans="1:20" ht="15" customHeight="1" outlineLevel="1">
      <c r="A38" s="218" t="s">
        <v>44</v>
      </c>
      <c r="B38" s="33">
        <v>6</v>
      </c>
      <c r="C38" s="219" t="s">
        <v>40</v>
      </c>
      <c r="D38" s="203" t="s">
        <v>40</v>
      </c>
      <c r="E38" s="69">
        <f>12848122.14</f>
        <v>12848122.140000001</v>
      </c>
      <c r="F38" s="36">
        <f>13906544.86</f>
        <v>13906544.859999999</v>
      </c>
      <c r="G38" s="36">
        <f>15821291.95</f>
        <v>15821291.949999999</v>
      </c>
      <c r="H38" s="37">
        <f>15503368.16</f>
        <v>15503368.16</v>
      </c>
      <c r="I38" s="38">
        <f>15503368.16</f>
        <v>15503368.16</v>
      </c>
      <c r="J38" s="39">
        <f>14565308</f>
        <v>14565308</v>
      </c>
      <c r="K38" s="39">
        <f>13349616</f>
        <v>13349616</v>
      </c>
      <c r="L38" s="39">
        <f>11783920</f>
        <v>11783920</v>
      </c>
      <c r="M38" s="39">
        <f>9868220</f>
        <v>9868220</v>
      </c>
      <c r="N38" s="39">
        <f>8190016</f>
        <v>8190016</v>
      </c>
      <c r="O38" s="39">
        <f>6580012</f>
        <v>6580012</v>
      </c>
      <c r="P38" s="39">
        <f>4970008</f>
        <v>4970008</v>
      </c>
      <c r="Q38" s="39">
        <f>3360004</f>
        <v>3360004</v>
      </c>
      <c r="R38" s="39">
        <f>1710000</f>
        <v>1710000</v>
      </c>
      <c r="S38" s="39">
        <f>0</f>
        <v>0</v>
      </c>
      <c r="T38" s="31"/>
    </row>
    <row r="39" spans="1:20" ht="25.5" customHeight="1" outlineLevel="2">
      <c r="B39" s="34" t="s">
        <v>184</v>
      </c>
      <c r="C39" s="204" t="s">
        <v>420</v>
      </c>
      <c r="D39" s="205" t="s">
        <v>420</v>
      </c>
      <c r="E39" s="70">
        <f>0</f>
        <v>0</v>
      </c>
      <c r="F39" s="40">
        <f>0</f>
        <v>0</v>
      </c>
      <c r="G39" s="40">
        <f>0</f>
        <v>0</v>
      </c>
      <c r="H39" s="41">
        <f>0</f>
        <v>0</v>
      </c>
      <c r="I39" s="42">
        <f>0</f>
        <v>0</v>
      </c>
      <c r="J39" s="43">
        <f>0</f>
        <v>0</v>
      </c>
      <c r="K39" s="43">
        <f>0</f>
        <v>0</v>
      </c>
      <c r="L39" s="43">
        <f>0</f>
        <v>0</v>
      </c>
      <c r="M39" s="43">
        <f>0</f>
        <v>0</v>
      </c>
      <c r="N39" s="43">
        <f>0</f>
        <v>0</v>
      </c>
      <c r="O39" s="43">
        <f>0</f>
        <v>0</v>
      </c>
      <c r="P39" s="43">
        <f>0</f>
        <v>0</v>
      </c>
      <c r="Q39" s="43">
        <f>0</f>
        <v>0</v>
      </c>
      <c r="R39" s="43">
        <f>0</f>
        <v>0</v>
      </c>
      <c r="S39" s="43">
        <f>0</f>
        <v>0</v>
      </c>
    </row>
    <row r="40" spans="1:20" ht="15" customHeight="1" outlineLevel="3">
      <c r="B40" s="34" t="s">
        <v>101</v>
      </c>
      <c r="C40" s="204" t="s">
        <v>406</v>
      </c>
      <c r="D40" s="206" t="s">
        <v>406</v>
      </c>
      <c r="E40" s="70">
        <f>0</f>
        <v>0</v>
      </c>
      <c r="F40" s="40">
        <f>0</f>
        <v>0</v>
      </c>
      <c r="G40" s="40">
        <f>0</f>
        <v>0</v>
      </c>
      <c r="H40" s="41">
        <f>0</f>
        <v>0</v>
      </c>
      <c r="I40" s="42">
        <f>0</f>
        <v>0</v>
      </c>
      <c r="J40" s="43">
        <f>0</f>
        <v>0</v>
      </c>
      <c r="K40" s="43">
        <f>0</f>
        <v>0</v>
      </c>
      <c r="L40" s="43">
        <f>0</f>
        <v>0</v>
      </c>
      <c r="M40" s="43">
        <f>0</f>
        <v>0</v>
      </c>
      <c r="N40" s="43">
        <f>0</f>
        <v>0</v>
      </c>
      <c r="O40" s="43">
        <f>0</f>
        <v>0</v>
      </c>
      <c r="P40" s="43">
        <f>0</f>
        <v>0</v>
      </c>
      <c r="Q40" s="43">
        <f>0</f>
        <v>0</v>
      </c>
      <c r="R40" s="43">
        <f>0</f>
        <v>0</v>
      </c>
      <c r="S40" s="43">
        <f>0</f>
        <v>0</v>
      </c>
    </row>
    <row r="41" spans="1:20" ht="25.5" customHeight="1" outlineLevel="2">
      <c r="B41" s="34" t="s">
        <v>185</v>
      </c>
      <c r="C41" s="204" t="s">
        <v>458</v>
      </c>
      <c r="D41" s="205" t="s">
        <v>421</v>
      </c>
      <c r="E41" s="72">
        <f>0.4081</f>
        <v>0.40810000000000002</v>
      </c>
      <c r="F41" s="46">
        <f>0.4477</f>
        <v>0.44769999999999999</v>
      </c>
      <c r="G41" s="46">
        <f>0.4441</f>
        <v>0.44409999999999999</v>
      </c>
      <c r="H41" s="47">
        <f>0.4502</f>
        <v>0.45019999999999999</v>
      </c>
      <c r="I41" s="48">
        <f>0.4174</f>
        <v>0.41739999999999999</v>
      </c>
      <c r="J41" s="49">
        <f>0.4624</f>
        <v>0.46239999999999998</v>
      </c>
      <c r="K41" s="49">
        <f>0.4238</f>
        <v>0.42380000000000001</v>
      </c>
      <c r="L41" s="49">
        <f>0.3741</f>
        <v>0.37409999999999999</v>
      </c>
      <c r="M41" s="49">
        <f>0.3084</f>
        <v>0.30840000000000001</v>
      </c>
      <c r="N41" s="49">
        <f>0.252</f>
        <v>0.252</v>
      </c>
      <c r="O41" s="49">
        <f>0.1994</f>
        <v>0.19939999999999999</v>
      </c>
      <c r="P41" s="49">
        <f>0.1484</f>
        <v>0.1484</v>
      </c>
      <c r="Q41" s="49">
        <f>0.0988</f>
        <v>9.8799999999999999E-2</v>
      </c>
      <c r="R41" s="49">
        <f>0.0496</f>
        <v>4.9599999999999998E-2</v>
      </c>
      <c r="S41" s="49">
        <f>0</f>
        <v>0</v>
      </c>
    </row>
    <row r="42" spans="1:20" ht="25.5" customHeight="1" outlineLevel="2">
      <c r="B42" s="34" t="s">
        <v>186</v>
      </c>
      <c r="C42" s="204" t="s">
        <v>459</v>
      </c>
      <c r="D42" s="205" t="s">
        <v>422</v>
      </c>
      <c r="E42" s="72">
        <f>0.4081</f>
        <v>0.40810000000000002</v>
      </c>
      <c r="F42" s="46">
        <f>0.4477</f>
        <v>0.44769999999999999</v>
      </c>
      <c r="G42" s="46">
        <f>0.4441</f>
        <v>0.44409999999999999</v>
      </c>
      <c r="H42" s="47">
        <f>0.4502</f>
        <v>0.45019999999999999</v>
      </c>
      <c r="I42" s="48">
        <f>0.4174</f>
        <v>0.41739999999999999</v>
      </c>
      <c r="J42" s="49">
        <f>0.4624</f>
        <v>0.46239999999999998</v>
      </c>
      <c r="K42" s="49">
        <f>0.4238</f>
        <v>0.42380000000000001</v>
      </c>
      <c r="L42" s="49">
        <f>0.3741</f>
        <v>0.37409999999999999</v>
      </c>
      <c r="M42" s="49">
        <f>0.3084</f>
        <v>0.30840000000000001</v>
      </c>
      <c r="N42" s="49">
        <f>0.252</f>
        <v>0.252</v>
      </c>
      <c r="O42" s="49">
        <f>0.1994</f>
        <v>0.19939999999999999</v>
      </c>
      <c r="P42" s="49">
        <f>0.1484</f>
        <v>0.1484</v>
      </c>
      <c r="Q42" s="49">
        <f>0.0988</f>
        <v>9.8799999999999999E-2</v>
      </c>
      <c r="R42" s="49">
        <f>0.0496</f>
        <v>4.9599999999999998E-2</v>
      </c>
      <c r="S42" s="49">
        <f>0</f>
        <v>0</v>
      </c>
    </row>
    <row r="43" spans="1:20" ht="39" customHeight="1" outlineLevel="1">
      <c r="B43" s="33">
        <v>7</v>
      </c>
      <c r="C43" s="219" t="s">
        <v>283</v>
      </c>
      <c r="D43" s="203" t="s">
        <v>283</v>
      </c>
      <c r="E43" s="69">
        <f>0</f>
        <v>0</v>
      </c>
      <c r="F43" s="36">
        <f>0</f>
        <v>0</v>
      </c>
      <c r="G43" s="36">
        <f>0</f>
        <v>0</v>
      </c>
      <c r="H43" s="37">
        <f>0</f>
        <v>0</v>
      </c>
      <c r="I43" s="38">
        <f>0</f>
        <v>0</v>
      </c>
      <c r="J43" s="39">
        <f>0</f>
        <v>0</v>
      </c>
      <c r="K43" s="39">
        <f>0</f>
        <v>0</v>
      </c>
      <c r="L43" s="39">
        <f>0</f>
        <v>0</v>
      </c>
      <c r="M43" s="39">
        <f>0</f>
        <v>0</v>
      </c>
      <c r="N43" s="39">
        <f>0</f>
        <v>0</v>
      </c>
      <c r="O43" s="39">
        <f>0</f>
        <v>0</v>
      </c>
      <c r="P43" s="39">
        <f>0</f>
        <v>0</v>
      </c>
      <c r="Q43" s="39">
        <f>0</f>
        <v>0</v>
      </c>
      <c r="R43" s="39">
        <f>0</f>
        <v>0</v>
      </c>
      <c r="S43" s="39">
        <f>0</f>
        <v>0</v>
      </c>
      <c r="T43" s="31"/>
    </row>
    <row r="44" spans="1:20" ht="15" customHeight="1" outlineLevel="1">
      <c r="B44" s="33">
        <v>8</v>
      </c>
      <c r="C44" s="219" t="s">
        <v>187</v>
      </c>
      <c r="D44" s="203" t="s">
        <v>187</v>
      </c>
      <c r="E44" s="73" t="s">
        <v>44</v>
      </c>
      <c r="F44" s="50" t="s">
        <v>44</v>
      </c>
      <c r="G44" s="50" t="s">
        <v>44</v>
      </c>
      <c r="H44" s="51" t="s">
        <v>44</v>
      </c>
      <c r="I44" s="52" t="s">
        <v>44</v>
      </c>
      <c r="J44" s="53" t="s">
        <v>44</v>
      </c>
      <c r="K44" s="53" t="s">
        <v>44</v>
      </c>
      <c r="L44" s="53" t="s">
        <v>44</v>
      </c>
      <c r="M44" s="53" t="s">
        <v>44</v>
      </c>
      <c r="N44" s="53" t="s">
        <v>44</v>
      </c>
      <c r="O44" s="53" t="s">
        <v>44</v>
      </c>
      <c r="P44" s="53" t="s">
        <v>44</v>
      </c>
      <c r="Q44" s="53" t="s">
        <v>44</v>
      </c>
      <c r="R44" s="53" t="s">
        <v>44</v>
      </c>
      <c r="S44" s="53" t="s">
        <v>44</v>
      </c>
      <c r="T44" s="31"/>
    </row>
    <row r="45" spans="1:20" ht="15" customHeight="1" outlineLevel="2">
      <c r="B45" s="34" t="s">
        <v>188</v>
      </c>
      <c r="C45" s="204" t="s">
        <v>282</v>
      </c>
      <c r="D45" s="205" t="s">
        <v>282</v>
      </c>
      <c r="E45" s="70">
        <f>686104.21</f>
        <v>686104.21</v>
      </c>
      <c r="F45" s="40">
        <f>2283237.55</f>
        <v>2283237.5499999998</v>
      </c>
      <c r="G45" s="40">
        <f>697224.01</f>
        <v>697224.01</v>
      </c>
      <c r="H45" s="41">
        <f>2632856.16</f>
        <v>2632856.16</v>
      </c>
      <c r="I45" s="42">
        <f>1126961.56</f>
        <v>1126961.56</v>
      </c>
      <c r="J45" s="43">
        <f>4621065.56</f>
        <v>4621065.5599999996</v>
      </c>
      <c r="K45" s="43">
        <f>4350000</f>
        <v>4350000</v>
      </c>
      <c r="L45" s="43">
        <f>4080000</f>
        <v>4080000</v>
      </c>
      <c r="M45" s="43">
        <f>4210000</f>
        <v>4210000</v>
      </c>
      <c r="N45" s="43">
        <f>4270000</f>
        <v>4270000</v>
      </c>
      <c r="O45" s="43">
        <f>4330000</f>
        <v>4330000</v>
      </c>
      <c r="P45" s="43">
        <f>4360000</f>
        <v>4360000</v>
      </c>
      <c r="Q45" s="43">
        <f>4390000</f>
        <v>4390000</v>
      </c>
      <c r="R45" s="43">
        <f>4440000</f>
        <v>4440000</v>
      </c>
      <c r="S45" s="43">
        <f>4440000</f>
        <v>4440000</v>
      </c>
    </row>
    <row r="46" spans="1:20" ht="39" customHeight="1" outlineLevel="2">
      <c r="B46" s="34" t="s">
        <v>189</v>
      </c>
      <c r="C46" s="204" t="s">
        <v>423</v>
      </c>
      <c r="D46" s="205" t="s">
        <v>423</v>
      </c>
      <c r="E46" s="70">
        <f>686104.21</f>
        <v>686104.21</v>
      </c>
      <c r="F46" s="40">
        <f>2283237.55</f>
        <v>2283237.5499999998</v>
      </c>
      <c r="G46" s="40">
        <f>3654017.85</f>
        <v>3654017.85</v>
      </c>
      <c r="H46" s="41">
        <f>5589650</f>
        <v>5589650</v>
      </c>
      <c r="I46" s="42">
        <f>3734372.78</f>
        <v>3734372.78</v>
      </c>
      <c r="J46" s="43">
        <f>4621065.56</f>
        <v>4621065.5599999996</v>
      </c>
      <c r="K46" s="43">
        <f>4350000</f>
        <v>4350000</v>
      </c>
      <c r="L46" s="43">
        <f>4080000</f>
        <v>4080000</v>
      </c>
      <c r="M46" s="43">
        <f>4210000</f>
        <v>4210000</v>
      </c>
      <c r="N46" s="43">
        <f>4270000</f>
        <v>4270000</v>
      </c>
      <c r="O46" s="43">
        <f>4330000</f>
        <v>4330000</v>
      </c>
      <c r="P46" s="43">
        <f>4360000</f>
        <v>4360000</v>
      </c>
      <c r="Q46" s="43">
        <f>4390000</f>
        <v>4390000</v>
      </c>
      <c r="R46" s="43">
        <f>4440000</f>
        <v>4440000</v>
      </c>
      <c r="S46" s="43">
        <f>4440000</f>
        <v>4440000</v>
      </c>
    </row>
    <row r="47" spans="1:20" ht="15" customHeight="1" outlineLevel="1">
      <c r="A47" s="218" t="s">
        <v>44</v>
      </c>
      <c r="B47" s="33">
        <v>9</v>
      </c>
      <c r="C47" s="219" t="s">
        <v>190</v>
      </c>
      <c r="D47" s="203" t="s">
        <v>190</v>
      </c>
      <c r="E47" s="73" t="s">
        <v>44</v>
      </c>
      <c r="F47" s="50" t="s">
        <v>44</v>
      </c>
      <c r="G47" s="50" t="s">
        <v>44</v>
      </c>
      <c r="H47" s="51" t="s">
        <v>44</v>
      </c>
      <c r="I47" s="52" t="s">
        <v>44</v>
      </c>
      <c r="J47" s="53" t="s">
        <v>44</v>
      </c>
      <c r="K47" s="53" t="s">
        <v>44</v>
      </c>
      <c r="L47" s="53" t="s">
        <v>44</v>
      </c>
      <c r="M47" s="53" t="s">
        <v>44</v>
      </c>
      <c r="N47" s="53" t="s">
        <v>44</v>
      </c>
      <c r="O47" s="53" t="s">
        <v>44</v>
      </c>
      <c r="P47" s="53" t="s">
        <v>44</v>
      </c>
      <c r="Q47" s="53" t="s">
        <v>44</v>
      </c>
      <c r="R47" s="53" t="s">
        <v>44</v>
      </c>
      <c r="S47" s="53" t="s">
        <v>44</v>
      </c>
      <c r="T47" s="31"/>
    </row>
    <row r="48" spans="1:20" ht="25.5" customHeight="1" outlineLevel="2">
      <c r="B48" s="34" t="s">
        <v>191</v>
      </c>
      <c r="C48" s="204" t="s">
        <v>457</v>
      </c>
      <c r="D48" s="205" t="s">
        <v>424</v>
      </c>
      <c r="E48" s="72">
        <f>0.0756</f>
        <v>7.5600000000000001E-2</v>
      </c>
      <c r="F48" s="46">
        <f>0.1061</f>
        <v>0.1061</v>
      </c>
      <c r="G48" s="46">
        <f>0.0797</f>
        <v>7.9699999999999993E-2</v>
      </c>
      <c r="H48" s="47">
        <f>0.0782</f>
        <v>7.8200000000000006E-2</v>
      </c>
      <c r="I48" s="48">
        <f>0.1456</f>
        <v>0.14560000000000001</v>
      </c>
      <c r="J48" s="49">
        <f>0.0524</f>
        <v>5.2400000000000002E-2</v>
      </c>
      <c r="K48" s="49">
        <f>0.0598</f>
        <v>5.9799999999999999E-2</v>
      </c>
      <c r="L48" s="49">
        <f>0.0692</f>
        <v>6.9199999999999998E-2</v>
      </c>
      <c r="M48" s="49">
        <f>0.0769</f>
        <v>7.6899999999999996E-2</v>
      </c>
      <c r="N48" s="49">
        <f>0.0663</f>
        <v>6.6299999999999998E-2</v>
      </c>
      <c r="O48" s="49">
        <f>0.0613</f>
        <v>6.13E-2</v>
      </c>
      <c r="P48" s="49">
        <f>0.0584</f>
        <v>5.8400000000000001E-2</v>
      </c>
      <c r="Q48" s="49">
        <f>0.0558</f>
        <v>5.5800000000000002E-2</v>
      </c>
      <c r="R48" s="49">
        <f>0.0532</f>
        <v>5.3199999999999997E-2</v>
      </c>
      <c r="S48" s="49">
        <f>0.0525</f>
        <v>5.2499999999999998E-2</v>
      </c>
    </row>
    <row r="49" spans="1:20" ht="25.5" customHeight="1" outlineLevel="2">
      <c r="B49" s="34" t="s">
        <v>192</v>
      </c>
      <c r="C49" s="204" t="s">
        <v>456</v>
      </c>
      <c r="D49" s="205" t="s">
        <v>245</v>
      </c>
      <c r="E49" s="72">
        <f>0.0756</f>
        <v>7.5600000000000001E-2</v>
      </c>
      <c r="F49" s="46">
        <f>0.1061</f>
        <v>0.1061</v>
      </c>
      <c r="G49" s="46">
        <f>0.0797</f>
        <v>7.9699999999999993E-2</v>
      </c>
      <c r="H49" s="47">
        <f>0.0782</f>
        <v>7.8200000000000006E-2</v>
      </c>
      <c r="I49" s="48">
        <f>0.1456</f>
        <v>0.14560000000000001</v>
      </c>
      <c r="J49" s="49">
        <f>0.0524</f>
        <v>5.2400000000000002E-2</v>
      </c>
      <c r="K49" s="49">
        <f>0.0598</f>
        <v>5.9799999999999999E-2</v>
      </c>
      <c r="L49" s="49">
        <f>0.0692</f>
        <v>6.9199999999999998E-2</v>
      </c>
      <c r="M49" s="49">
        <f>0.0769</f>
        <v>7.6899999999999996E-2</v>
      </c>
      <c r="N49" s="49">
        <f>0.0663</f>
        <v>6.6299999999999998E-2</v>
      </c>
      <c r="O49" s="49">
        <f>0.0613</f>
        <v>6.13E-2</v>
      </c>
      <c r="P49" s="49">
        <f>0.0584</f>
        <v>5.8400000000000001E-2</v>
      </c>
      <c r="Q49" s="49">
        <f>0.0558</f>
        <v>5.5800000000000002E-2</v>
      </c>
      <c r="R49" s="49">
        <f>0.0532</f>
        <v>5.3199999999999997E-2</v>
      </c>
      <c r="S49" s="49">
        <f>0.0525</f>
        <v>5.2499999999999998E-2</v>
      </c>
    </row>
    <row r="50" spans="1:20" ht="38.25" customHeight="1" outlineLevel="2">
      <c r="A50" s="218" t="s">
        <v>44</v>
      </c>
      <c r="B50" s="34" t="s">
        <v>193</v>
      </c>
      <c r="C50" s="204" t="s">
        <v>462</v>
      </c>
      <c r="D50" s="205" t="s">
        <v>247</v>
      </c>
      <c r="E50" s="72">
        <f>0.0756</f>
        <v>7.5600000000000001E-2</v>
      </c>
      <c r="F50" s="46">
        <f>0.1061</f>
        <v>0.1061</v>
      </c>
      <c r="G50" s="46">
        <f>0.0797</f>
        <v>7.9699999999999993E-2</v>
      </c>
      <c r="H50" s="47">
        <f>0.0782</f>
        <v>7.8200000000000006E-2</v>
      </c>
      <c r="I50" s="48">
        <f>0.1456</f>
        <v>0.14560000000000001</v>
      </c>
      <c r="J50" s="49">
        <f>0.0524</f>
        <v>5.2400000000000002E-2</v>
      </c>
      <c r="K50" s="49">
        <f>0.0598</f>
        <v>5.9799999999999999E-2</v>
      </c>
      <c r="L50" s="49">
        <f>0.0692</f>
        <v>6.9199999999999998E-2</v>
      </c>
      <c r="M50" s="49">
        <f>0.0769</f>
        <v>7.6899999999999996E-2</v>
      </c>
      <c r="N50" s="49">
        <f>0.0663</f>
        <v>6.6299999999999998E-2</v>
      </c>
      <c r="O50" s="49">
        <f>0.0613</f>
        <v>6.13E-2</v>
      </c>
      <c r="P50" s="49">
        <f>0.0584</f>
        <v>5.8400000000000001E-2</v>
      </c>
      <c r="Q50" s="49">
        <f>0.0558</f>
        <v>5.5800000000000002E-2</v>
      </c>
      <c r="R50" s="49">
        <f>0.0532</f>
        <v>5.3199999999999997E-2</v>
      </c>
      <c r="S50" s="49">
        <f>0.0525</f>
        <v>5.2499999999999998E-2</v>
      </c>
    </row>
    <row r="51" spans="1:20" ht="38.25" customHeight="1" outlineLevel="2">
      <c r="A51" s="218" t="s">
        <v>44</v>
      </c>
      <c r="B51" s="34" t="s">
        <v>194</v>
      </c>
      <c r="C51" s="204" t="s">
        <v>246</v>
      </c>
      <c r="D51" s="205" t="s">
        <v>246</v>
      </c>
      <c r="E51" s="72">
        <f>0.0756</f>
        <v>7.5600000000000001E-2</v>
      </c>
      <c r="F51" s="46">
        <f>0.1061</f>
        <v>0.1061</v>
      </c>
      <c r="G51" s="46">
        <f>0.0797</f>
        <v>7.9699999999999993E-2</v>
      </c>
      <c r="H51" s="47">
        <f>0.0782</f>
        <v>7.8200000000000006E-2</v>
      </c>
      <c r="I51" s="48">
        <f>0.1456</f>
        <v>0.14560000000000001</v>
      </c>
      <c r="J51" s="49">
        <f>0.0524</f>
        <v>5.2400000000000002E-2</v>
      </c>
      <c r="K51" s="49">
        <f>0.0598</f>
        <v>5.9799999999999999E-2</v>
      </c>
      <c r="L51" s="49">
        <f>0.0692</f>
        <v>6.9199999999999998E-2</v>
      </c>
      <c r="M51" s="49">
        <f>0.0769</f>
        <v>7.6899999999999996E-2</v>
      </c>
      <c r="N51" s="49">
        <f>0.0663</f>
        <v>6.6299999999999998E-2</v>
      </c>
      <c r="O51" s="49">
        <f>0.0613</f>
        <v>6.13E-2</v>
      </c>
      <c r="P51" s="49">
        <f>0.0584</f>
        <v>5.8400000000000001E-2</v>
      </c>
      <c r="Q51" s="49">
        <f>0.0558</f>
        <v>5.5800000000000002E-2</v>
      </c>
      <c r="R51" s="49">
        <f>0.0532</f>
        <v>5.3199999999999997E-2</v>
      </c>
      <c r="S51" s="49">
        <f>0.0525</f>
        <v>5.2499999999999998E-2</v>
      </c>
    </row>
    <row r="52" spans="1:20" ht="25.5" customHeight="1" outlineLevel="2">
      <c r="A52" s="218" t="s">
        <v>44</v>
      </c>
      <c r="B52" s="34" t="s">
        <v>195</v>
      </c>
      <c r="C52" s="204" t="s">
        <v>248</v>
      </c>
      <c r="D52" s="205" t="s">
        <v>248</v>
      </c>
      <c r="E52" s="70">
        <f>0</f>
        <v>0</v>
      </c>
      <c r="F52" s="40">
        <f>0</f>
        <v>0</v>
      </c>
      <c r="G52" s="40">
        <f>0</f>
        <v>0</v>
      </c>
      <c r="H52" s="41">
        <f>0</f>
        <v>0</v>
      </c>
      <c r="I52" s="42">
        <f>0</f>
        <v>0</v>
      </c>
      <c r="J52" s="43">
        <f>0</f>
        <v>0</v>
      </c>
      <c r="K52" s="43">
        <f>0</f>
        <v>0</v>
      </c>
      <c r="L52" s="43">
        <f>0</f>
        <v>0</v>
      </c>
      <c r="M52" s="43">
        <f>0</f>
        <v>0</v>
      </c>
      <c r="N52" s="43">
        <f>0</f>
        <v>0</v>
      </c>
      <c r="O52" s="43">
        <f>0</f>
        <v>0</v>
      </c>
      <c r="P52" s="43">
        <f>0</f>
        <v>0</v>
      </c>
      <c r="Q52" s="43">
        <f>0</f>
        <v>0</v>
      </c>
      <c r="R52" s="43">
        <f>0</f>
        <v>0</v>
      </c>
      <c r="S52" s="43">
        <f>0</f>
        <v>0</v>
      </c>
    </row>
    <row r="53" spans="1:20" ht="38.25" customHeight="1" outlineLevel="2">
      <c r="A53" s="218" t="s">
        <v>44</v>
      </c>
      <c r="B53" s="34" t="s">
        <v>196</v>
      </c>
      <c r="C53" s="204" t="s">
        <v>463</v>
      </c>
      <c r="D53" s="205" t="s">
        <v>249</v>
      </c>
      <c r="E53" s="72">
        <f>0.0756</f>
        <v>7.5600000000000001E-2</v>
      </c>
      <c r="F53" s="46">
        <f>0.1061</f>
        <v>0.1061</v>
      </c>
      <c r="G53" s="46">
        <f>0.0797</f>
        <v>7.9699999999999993E-2</v>
      </c>
      <c r="H53" s="47">
        <f>0.0782</f>
        <v>7.8200000000000006E-2</v>
      </c>
      <c r="I53" s="48">
        <f>0.1456</f>
        <v>0.14560000000000001</v>
      </c>
      <c r="J53" s="49">
        <f>0.0524</f>
        <v>5.2400000000000002E-2</v>
      </c>
      <c r="K53" s="49">
        <f>0.0598</f>
        <v>5.9799999999999999E-2</v>
      </c>
      <c r="L53" s="49">
        <f>0.0692</f>
        <v>6.9199999999999998E-2</v>
      </c>
      <c r="M53" s="49">
        <f>0.0769</f>
        <v>7.6899999999999996E-2</v>
      </c>
      <c r="N53" s="49">
        <f>0.0663</f>
        <v>6.6299999999999998E-2</v>
      </c>
      <c r="O53" s="49">
        <f>0.0613</f>
        <v>6.13E-2</v>
      </c>
      <c r="P53" s="49">
        <f>0.0584</f>
        <v>5.8400000000000001E-2</v>
      </c>
      <c r="Q53" s="49">
        <f>0.0558</f>
        <v>5.5800000000000002E-2</v>
      </c>
      <c r="R53" s="49">
        <f>0.0532</f>
        <v>5.3199999999999997E-2</v>
      </c>
      <c r="S53" s="49">
        <f>0.0525</f>
        <v>5.2499999999999998E-2</v>
      </c>
    </row>
    <row r="54" spans="1:20" ht="15" customHeight="1" outlineLevel="3">
      <c r="A54" s="218" t="s">
        <v>44</v>
      </c>
      <c r="B54" s="79" t="s">
        <v>113</v>
      </c>
      <c r="C54" s="80" t="s">
        <v>415</v>
      </c>
      <c r="D54" s="214" t="s">
        <v>415</v>
      </c>
      <c r="E54" s="72">
        <f>+IF(E4&lt;&gt;0,(E5+E13-E16)/E4,0)</f>
        <v>6.426086160724892E-2</v>
      </c>
      <c r="F54" s="46">
        <f>+IF(F4&lt;&gt;0,(F5+F13-F16)/F4,0)</f>
        <v>7.4339581733020466E-2</v>
      </c>
      <c r="G54" s="46">
        <f>+IF(G4&lt;&gt;0,(G5+G13-G16)/G4,0)</f>
        <v>2.2378770663430053E-2</v>
      </c>
      <c r="H54" s="47">
        <f>+IF(H4&lt;&gt;0,(H5+H13-H16)/H4,0)</f>
        <v>8.1093861393892561E-2</v>
      </c>
      <c r="I54" s="48">
        <f>+IF(I4&lt;&gt;0,(I5+I13-I16)/I4,0)</f>
        <v>3.370543229715673E-2</v>
      </c>
      <c r="J54" s="49">
        <f t="shared" ref="J54:S54" si="3">+IF(J4&lt;&gt;0,(J5+J13-J16)/J4,0)</f>
        <v>0.14670049066167154</v>
      </c>
      <c r="K54" s="49">
        <f t="shared" si="3"/>
        <v>0.1380952380952381</v>
      </c>
      <c r="L54" s="49">
        <f t="shared" si="3"/>
        <v>0.12952380952380951</v>
      </c>
      <c r="M54" s="49">
        <f t="shared" si="3"/>
        <v>0.1315625</v>
      </c>
      <c r="N54" s="49">
        <f t="shared" si="3"/>
        <v>0.13138461538461538</v>
      </c>
      <c r="O54" s="49">
        <f t="shared" si="3"/>
        <v>0.13121212121212122</v>
      </c>
      <c r="P54" s="49">
        <f t="shared" si="3"/>
        <v>0.13014925373134328</v>
      </c>
      <c r="Q54" s="49">
        <f t="shared" si="3"/>
        <v>0.12911764705882353</v>
      </c>
      <c r="R54" s="49">
        <f t="shared" si="3"/>
        <v>0.12869565217391304</v>
      </c>
      <c r="S54" s="49">
        <f t="shared" si="3"/>
        <v>0.12685714285714286</v>
      </c>
    </row>
    <row r="55" spans="1:20" ht="38.25" customHeight="1" outlineLevel="2">
      <c r="A55" s="218" t="s">
        <v>44</v>
      </c>
      <c r="B55" s="34" t="s">
        <v>197</v>
      </c>
      <c r="C55" s="204" t="s">
        <v>460</v>
      </c>
      <c r="D55" s="205" t="s">
        <v>425</v>
      </c>
      <c r="E55" s="73" t="s">
        <v>44</v>
      </c>
      <c r="F55" s="50" t="s">
        <v>44</v>
      </c>
      <c r="G55" s="50" t="s">
        <v>44</v>
      </c>
      <c r="H55" s="51" t="s">
        <v>44</v>
      </c>
      <c r="I55" s="48">
        <f>0.0537</f>
        <v>5.3699999999999998E-2</v>
      </c>
      <c r="J55" s="49">
        <f>0.0435</f>
        <v>4.3499999999999997E-2</v>
      </c>
      <c r="K55" s="49">
        <f>0.0676</f>
        <v>6.7599999999999993E-2</v>
      </c>
      <c r="L55" s="49">
        <f>0.1062</f>
        <v>0.1062</v>
      </c>
      <c r="M55" s="49">
        <f>0.1381</f>
        <v>0.1381</v>
      </c>
      <c r="N55" s="49">
        <f>0.1331</f>
        <v>0.1331</v>
      </c>
      <c r="O55" s="49">
        <f>0.1308</f>
        <v>0.1308</v>
      </c>
      <c r="P55" s="49">
        <f>0.1314</f>
        <v>0.13139999999999999</v>
      </c>
      <c r="Q55" s="49">
        <f>0.1309</f>
        <v>0.13089999999999999</v>
      </c>
      <c r="R55" s="49">
        <f>0.1301</f>
        <v>0.13009999999999999</v>
      </c>
      <c r="S55" s="49">
        <f>0.1293</f>
        <v>0.1293</v>
      </c>
    </row>
    <row r="56" spans="1:20" ht="38.25" customHeight="1" outlineLevel="2">
      <c r="A56" s="218" t="s">
        <v>44</v>
      </c>
      <c r="B56" s="34" t="s">
        <v>116</v>
      </c>
      <c r="C56" s="204" t="s">
        <v>461</v>
      </c>
      <c r="D56" s="206" t="s">
        <v>426</v>
      </c>
      <c r="E56" s="73" t="s">
        <v>44</v>
      </c>
      <c r="F56" s="50" t="s">
        <v>44</v>
      </c>
      <c r="G56" s="50" t="s">
        <v>44</v>
      </c>
      <c r="H56" s="51" t="s">
        <v>44</v>
      </c>
      <c r="I56" s="48">
        <f>0.0732</f>
        <v>7.3200000000000001E-2</v>
      </c>
      <c r="J56" s="49">
        <f>0.063</f>
        <v>6.3E-2</v>
      </c>
      <c r="K56" s="49">
        <f>0.0872</f>
        <v>8.72E-2</v>
      </c>
      <c r="L56" s="49">
        <f>0.1062</f>
        <v>0.1062</v>
      </c>
      <c r="M56" s="49">
        <f>0.1381</f>
        <v>0.1381</v>
      </c>
      <c r="N56" s="49">
        <f>0.1331</f>
        <v>0.1331</v>
      </c>
      <c r="O56" s="49">
        <f>0.1308</f>
        <v>0.1308</v>
      </c>
      <c r="P56" s="49">
        <f>0.1314</f>
        <v>0.13139999999999999</v>
      </c>
      <c r="Q56" s="49">
        <f>0.1309</f>
        <v>0.13089999999999999</v>
      </c>
      <c r="R56" s="49">
        <f>0.1301</f>
        <v>0.13009999999999999</v>
      </c>
      <c r="S56" s="49">
        <f>0.1293</f>
        <v>0.1293</v>
      </c>
    </row>
    <row r="57" spans="1:20" ht="49.5" customHeight="1" outlineLevel="2">
      <c r="A57" s="218" t="s">
        <v>44</v>
      </c>
      <c r="B57" s="34" t="s">
        <v>198</v>
      </c>
      <c r="C57" s="204" t="s">
        <v>251</v>
      </c>
      <c r="D57" s="205" t="s">
        <v>251</v>
      </c>
      <c r="E57" s="73" t="s">
        <v>44</v>
      </c>
      <c r="F57" s="50" t="s">
        <v>44</v>
      </c>
      <c r="G57" s="50" t="s">
        <v>44</v>
      </c>
      <c r="H57" s="51" t="s">
        <v>44</v>
      </c>
      <c r="I57" s="182" t="str">
        <f>IF(I53&lt;=I55,"Spełniona","Nie spełniona")</f>
        <v>Nie spełniona</v>
      </c>
      <c r="J57" s="183" t="str">
        <f t="shared" ref="J57:S57" si="4">IF(J53&lt;=J55,"Spełniona","Nie spełniona")</f>
        <v>Nie spełniona</v>
      </c>
      <c r="K57" s="183" t="str">
        <f t="shared" si="4"/>
        <v>Spełniona</v>
      </c>
      <c r="L57" s="183" t="str">
        <f t="shared" si="4"/>
        <v>Spełniona</v>
      </c>
      <c r="M57" s="183" t="str">
        <f t="shared" si="4"/>
        <v>Spełniona</v>
      </c>
      <c r="N57" s="183" t="str">
        <f t="shared" si="4"/>
        <v>Spełniona</v>
      </c>
      <c r="O57" s="183" t="str">
        <f t="shared" si="4"/>
        <v>Spełniona</v>
      </c>
      <c r="P57" s="183" t="str">
        <f t="shared" si="4"/>
        <v>Spełniona</v>
      </c>
      <c r="Q57" s="183" t="str">
        <f t="shared" si="4"/>
        <v>Spełniona</v>
      </c>
      <c r="R57" s="183" t="str">
        <f t="shared" si="4"/>
        <v>Spełniona</v>
      </c>
      <c r="S57" s="183" t="str">
        <f t="shared" si="4"/>
        <v>Spełniona</v>
      </c>
    </row>
    <row r="58" spans="1:20" ht="49.5" customHeight="1" outlineLevel="2">
      <c r="A58" s="218" t="s">
        <v>44</v>
      </c>
      <c r="B58" s="34" t="s">
        <v>119</v>
      </c>
      <c r="C58" s="204" t="s">
        <v>250</v>
      </c>
      <c r="D58" s="206" t="s">
        <v>250</v>
      </c>
      <c r="E58" s="73" t="s">
        <v>44</v>
      </c>
      <c r="F58" s="50" t="s">
        <v>44</v>
      </c>
      <c r="G58" s="50" t="s">
        <v>44</v>
      </c>
      <c r="H58" s="51" t="s">
        <v>44</v>
      </c>
      <c r="I58" s="182" t="str">
        <f>IF(I53&lt;=I56,"Spełniona","Nie spełniona")</f>
        <v>Nie spełniona</v>
      </c>
      <c r="J58" s="183" t="str">
        <f t="shared" ref="J58:S58" si="5">IF(J53&lt;=J56,"Spełniona","Nie spełniona")</f>
        <v>Spełniona</v>
      </c>
      <c r="K58" s="183" t="str">
        <f t="shared" si="5"/>
        <v>Spełniona</v>
      </c>
      <c r="L58" s="183" t="str">
        <f t="shared" si="5"/>
        <v>Spełniona</v>
      </c>
      <c r="M58" s="183" t="str">
        <f t="shared" si="5"/>
        <v>Spełniona</v>
      </c>
      <c r="N58" s="183" t="str">
        <f t="shared" si="5"/>
        <v>Spełniona</v>
      </c>
      <c r="O58" s="183" t="str">
        <f t="shared" si="5"/>
        <v>Spełniona</v>
      </c>
      <c r="P58" s="183" t="str">
        <f t="shared" si="5"/>
        <v>Spełniona</v>
      </c>
      <c r="Q58" s="183" t="str">
        <f t="shared" si="5"/>
        <v>Spełniona</v>
      </c>
      <c r="R58" s="183" t="str">
        <f t="shared" si="5"/>
        <v>Spełniona</v>
      </c>
      <c r="S58" s="183" t="str">
        <f t="shared" si="5"/>
        <v>Spełniona</v>
      </c>
    </row>
    <row r="59" spans="1:20" ht="15" customHeight="1" outlineLevel="1">
      <c r="B59" s="33">
        <v>10</v>
      </c>
      <c r="C59" s="219" t="s">
        <v>252</v>
      </c>
      <c r="D59" s="203" t="s">
        <v>252</v>
      </c>
      <c r="E59" s="69">
        <f>0</f>
        <v>0</v>
      </c>
      <c r="F59" s="36">
        <f>0</f>
        <v>0</v>
      </c>
      <c r="G59" s="36">
        <f>0</f>
        <v>0</v>
      </c>
      <c r="H59" s="37">
        <f>0</f>
        <v>0</v>
      </c>
      <c r="I59" s="38">
        <f>0</f>
        <v>0</v>
      </c>
      <c r="J59" s="39">
        <f>938060.16</f>
        <v>938060.16</v>
      </c>
      <c r="K59" s="39">
        <f>1215692</f>
        <v>1215692</v>
      </c>
      <c r="L59" s="39">
        <f>1565696</f>
        <v>1565696</v>
      </c>
      <c r="M59" s="39">
        <f>1915700</f>
        <v>1915700</v>
      </c>
      <c r="N59" s="39">
        <f>1678204</f>
        <v>1678204</v>
      </c>
      <c r="O59" s="39">
        <f t="shared" ref="O59:Q60" si="6">1610004</f>
        <v>1610004</v>
      </c>
      <c r="P59" s="39">
        <f t="shared" si="6"/>
        <v>1610004</v>
      </c>
      <c r="Q59" s="39">
        <f t="shared" si="6"/>
        <v>1610004</v>
      </c>
      <c r="R59" s="39">
        <f>1650004</f>
        <v>1650004</v>
      </c>
      <c r="S59" s="39">
        <f>1710000</f>
        <v>1710000</v>
      </c>
      <c r="T59" s="31"/>
    </row>
    <row r="60" spans="1:20" ht="15" customHeight="1" outlineLevel="2">
      <c r="B60" s="34" t="s">
        <v>199</v>
      </c>
      <c r="C60" s="204" t="s">
        <v>253</v>
      </c>
      <c r="D60" s="205" t="s">
        <v>253</v>
      </c>
      <c r="E60" s="70">
        <f>0</f>
        <v>0</v>
      </c>
      <c r="F60" s="40">
        <f>0</f>
        <v>0</v>
      </c>
      <c r="G60" s="40">
        <f>0</f>
        <v>0</v>
      </c>
      <c r="H60" s="41">
        <f>0</f>
        <v>0</v>
      </c>
      <c r="I60" s="42">
        <f>0</f>
        <v>0</v>
      </c>
      <c r="J60" s="43">
        <f>938060.16</f>
        <v>938060.16</v>
      </c>
      <c r="K60" s="43">
        <f>1215692</f>
        <v>1215692</v>
      </c>
      <c r="L60" s="43">
        <f>1565696</f>
        <v>1565696</v>
      </c>
      <c r="M60" s="43">
        <f>1915700</f>
        <v>1915700</v>
      </c>
      <c r="N60" s="43">
        <f>1678204</f>
        <v>1678204</v>
      </c>
      <c r="O60" s="43">
        <f t="shared" si="6"/>
        <v>1610004</v>
      </c>
      <c r="P60" s="43">
        <f t="shared" si="6"/>
        <v>1610004</v>
      </c>
      <c r="Q60" s="43">
        <f t="shared" si="6"/>
        <v>1610004</v>
      </c>
      <c r="R60" s="43">
        <f>1650004</f>
        <v>1650004</v>
      </c>
      <c r="S60" s="43">
        <f>1710000</f>
        <v>1710000</v>
      </c>
    </row>
    <row r="61" spans="1:20" ht="15" customHeight="1" outlineLevel="1">
      <c r="B61" s="33">
        <v>11</v>
      </c>
      <c r="C61" s="219" t="s">
        <v>123</v>
      </c>
      <c r="D61" s="203" t="s">
        <v>123</v>
      </c>
      <c r="E61" s="73" t="s">
        <v>44</v>
      </c>
      <c r="F61" s="50" t="s">
        <v>44</v>
      </c>
      <c r="G61" s="50" t="s">
        <v>44</v>
      </c>
      <c r="H61" s="51" t="s">
        <v>44</v>
      </c>
      <c r="I61" s="52" t="s">
        <v>44</v>
      </c>
      <c r="J61" s="53" t="s">
        <v>44</v>
      </c>
      <c r="K61" s="53" t="s">
        <v>44</v>
      </c>
      <c r="L61" s="53" t="s">
        <v>44</v>
      </c>
      <c r="M61" s="53" t="s">
        <v>44</v>
      </c>
      <c r="N61" s="53" t="s">
        <v>44</v>
      </c>
      <c r="O61" s="53" t="s">
        <v>44</v>
      </c>
      <c r="P61" s="53" t="s">
        <v>44</v>
      </c>
      <c r="Q61" s="53" t="s">
        <v>44</v>
      </c>
      <c r="R61" s="53" t="s">
        <v>44</v>
      </c>
      <c r="S61" s="53" t="s">
        <v>44</v>
      </c>
      <c r="T61" s="31"/>
    </row>
    <row r="62" spans="1:20" ht="15" customHeight="1" outlineLevel="2">
      <c r="B62" s="34" t="s">
        <v>200</v>
      </c>
      <c r="C62" s="204" t="s">
        <v>451</v>
      </c>
      <c r="D62" s="205" t="s">
        <v>254</v>
      </c>
      <c r="E62" s="70">
        <f>10915139.42</f>
        <v>10915139.42</v>
      </c>
      <c r="F62" s="40">
        <f>0</f>
        <v>0</v>
      </c>
      <c r="G62" s="40">
        <f>12203062</f>
        <v>12203062</v>
      </c>
      <c r="H62" s="41">
        <f>12006826.01</f>
        <v>12006826.01</v>
      </c>
      <c r="I62" s="42">
        <f>12581224</f>
        <v>12581224</v>
      </c>
      <c r="J62" s="43">
        <f>12400000</f>
        <v>12400000</v>
      </c>
      <c r="K62" s="43">
        <f>12800000</f>
        <v>12800000</v>
      </c>
      <c r="L62" s="43">
        <f>13000000</f>
        <v>13000000</v>
      </c>
      <c r="M62" s="43">
        <f>13200000</f>
        <v>13200000</v>
      </c>
      <c r="N62" s="43">
        <f>13400000</f>
        <v>13400000</v>
      </c>
      <c r="O62" s="43">
        <f>13600000</f>
        <v>13600000</v>
      </c>
      <c r="P62" s="43">
        <f>13800000</f>
        <v>13800000</v>
      </c>
      <c r="Q62" s="43">
        <f>14000000</f>
        <v>14000000</v>
      </c>
      <c r="R62" s="43">
        <f>14251000</f>
        <v>14251000</v>
      </c>
      <c r="S62" s="43">
        <f>14500000</f>
        <v>14500000</v>
      </c>
    </row>
    <row r="63" spans="1:20" ht="15" customHeight="1" outlineLevel="2">
      <c r="B63" s="34" t="s">
        <v>201</v>
      </c>
      <c r="C63" s="204" t="s">
        <v>450</v>
      </c>
      <c r="D63" s="205" t="s">
        <v>255</v>
      </c>
      <c r="E63" s="70">
        <f>0</f>
        <v>0</v>
      </c>
      <c r="F63" s="40">
        <f>0</f>
        <v>0</v>
      </c>
      <c r="G63" s="40">
        <f>0</f>
        <v>0</v>
      </c>
      <c r="H63" s="41">
        <f>0</f>
        <v>0</v>
      </c>
      <c r="I63" s="42">
        <v>3148925.95</v>
      </c>
      <c r="J63" s="43">
        <f>3000000</f>
        <v>3000000</v>
      </c>
      <c r="K63" s="43">
        <f>3100000</f>
        <v>3100000</v>
      </c>
      <c r="L63" s="43">
        <f>3200000</f>
        <v>3200000</v>
      </c>
      <c r="M63" s="43">
        <f>3300000</f>
        <v>3300000</v>
      </c>
      <c r="N63" s="43">
        <f>3400000</f>
        <v>3400000</v>
      </c>
      <c r="O63" s="43">
        <f>3500000</f>
        <v>3500000</v>
      </c>
      <c r="P63" s="43">
        <f>3600000</f>
        <v>3600000</v>
      </c>
      <c r="Q63" s="43">
        <f>3700000</f>
        <v>3700000</v>
      </c>
      <c r="R63" s="43">
        <f>3800000</f>
        <v>3800000</v>
      </c>
      <c r="S63" s="43">
        <f>3900000</f>
        <v>3900000</v>
      </c>
    </row>
    <row r="64" spans="1:20" ht="15" customHeight="1" outlineLevel="2">
      <c r="B64" s="34" t="s">
        <v>202</v>
      </c>
      <c r="C64" s="204" t="s">
        <v>258</v>
      </c>
      <c r="D64" s="205" t="s">
        <v>258</v>
      </c>
      <c r="E64" s="70">
        <f>0</f>
        <v>0</v>
      </c>
      <c r="F64" s="40">
        <f>0</f>
        <v>0</v>
      </c>
      <c r="G64" s="40">
        <f>1841325</f>
        <v>1841325</v>
      </c>
      <c r="H64" s="41">
        <f>0</f>
        <v>0</v>
      </c>
      <c r="I64" s="42">
        <f>3754113.07</f>
        <v>3754113.07</v>
      </c>
      <c r="J64" s="43">
        <f>5777805.43</f>
        <v>5777805.4299999997</v>
      </c>
      <c r="K64" s="43">
        <f>449902.82</f>
        <v>449902.82</v>
      </c>
      <c r="L64" s="43">
        <f>56</f>
        <v>56</v>
      </c>
      <c r="M64" s="43">
        <f>56</f>
        <v>56</v>
      </c>
      <c r="N64" s="43">
        <f>56</f>
        <v>56</v>
      </c>
      <c r="O64" s="43">
        <f>56</f>
        <v>56</v>
      </c>
      <c r="P64" s="43">
        <f>20</f>
        <v>20</v>
      </c>
      <c r="Q64" s="43">
        <f>0</f>
        <v>0</v>
      </c>
      <c r="R64" s="43">
        <f>0</f>
        <v>0</v>
      </c>
      <c r="S64" s="43">
        <f>0</f>
        <v>0</v>
      </c>
    </row>
    <row r="65" spans="2:20" ht="15" customHeight="1" outlineLevel="3">
      <c r="B65" s="34" t="s">
        <v>127</v>
      </c>
      <c r="C65" s="204" t="s">
        <v>452</v>
      </c>
      <c r="D65" s="206" t="s">
        <v>256</v>
      </c>
      <c r="E65" s="70">
        <f>0</f>
        <v>0</v>
      </c>
      <c r="F65" s="40">
        <f>0</f>
        <v>0</v>
      </c>
      <c r="G65" s="40">
        <f>994525</f>
        <v>994525</v>
      </c>
      <c r="H65" s="41">
        <f>0</f>
        <v>0</v>
      </c>
      <c r="I65" s="42">
        <f>1322372.51</f>
        <v>1322372.51</v>
      </c>
      <c r="J65" s="43">
        <f>2157115.13</f>
        <v>2157115.13</v>
      </c>
      <c r="K65" s="43">
        <f>449902.82</f>
        <v>449902.82</v>
      </c>
      <c r="L65" s="43">
        <f>56</f>
        <v>56</v>
      </c>
      <c r="M65" s="43">
        <f>56</f>
        <v>56</v>
      </c>
      <c r="N65" s="43">
        <f>56</f>
        <v>56</v>
      </c>
      <c r="O65" s="43">
        <f>56</f>
        <v>56</v>
      </c>
      <c r="P65" s="43">
        <f>20</f>
        <v>20</v>
      </c>
      <c r="Q65" s="43">
        <f>0</f>
        <v>0</v>
      </c>
      <c r="R65" s="43">
        <f>0</f>
        <v>0</v>
      </c>
      <c r="S65" s="43">
        <f>0</f>
        <v>0</v>
      </c>
    </row>
    <row r="66" spans="2:20" ht="15" customHeight="1" outlineLevel="3">
      <c r="B66" s="34" t="s">
        <v>129</v>
      </c>
      <c r="C66" s="204" t="s">
        <v>453</v>
      </c>
      <c r="D66" s="206" t="s">
        <v>257</v>
      </c>
      <c r="E66" s="70">
        <f>0</f>
        <v>0</v>
      </c>
      <c r="F66" s="40">
        <f>0</f>
        <v>0</v>
      </c>
      <c r="G66" s="40">
        <f>846800</f>
        <v>846800</v>
      </c>
      <c r="H66" s="41">
        <f>0</f>
        <v>0</v>
      </c>
      <c r="I66" s="42">
        <f>2431740.56</f>
        <v>2431740.56</v>
      </c>
      <c r="J66" s="43">
        <f>3620690.3</f>
        <v>3620690.3</v>
      </c>
      <c r="K66" s="43">
        <f>0</f>
        <v>0</v>
      </c>
      <c r="L66" s="43">
        <f>0</f>
        <v>0</v>
      </c>
      <c r="M66" s="43">
        <f>0</f>
        <v>0</v>
      </c>
      <c r="N66" s="43">
        <f>0</f>
        <v>0</v>
      </c>
      <c r="O66" s="43">
        <f>0</f>
        <v>0</v>
      </c>
      <c r="P66" s="43">
        <f>0</f>
        <v>0</v>
      </c>
      <c r="Q66" s="43">
        <f>0</f>
        <v>0</v>
      </c>
      <c r="R66" s="43">
        <f>0</f>
        <v>0</v>
      </c>
      <c r="S66" s="43">
        <f>0</f>
        <v>0</v>
      </c>
    </row>
    <row r="67" spans="2:20" ht="15" customHeight="1" outlineLevel="2">
      <c r="B67" s="34" t="s">
        <v>203</v>
      </c>
      <c r="C67" s="204" t="s">
        <v>259</v>
      </c>
      <c r="D67" s="205" t="s">
        <v>259</v>
      </c>
      <c r="E67" s="70">
        <f>0</f>
        <v>0</v>
      </c>
      <c r="F67" s="40">
        <f>0</f>
        <v>0</v>
      </c>
      <c r="G67" s="40">
        <f>0</f>
        <v>0</v>
      </c>
      <c r="H67" s="41">
        <f>0</f>
        <v>0</v>
      </c>
      <c r="I67" s="42">
        <f>5060975.58</f>
        <v>5060975.58</v>
      </c>
      <c r="J67" s="43">
        <f>0</f>
        <v>0</v>
      </c>
      <c r="K67" s="43">
        <f>0</f>
        <v>0</v>
      </c>
      <c r="L67" s="43">
        <f>0</f>
        <v>0</v>
      </c>
      <c r="M67" s="43">
        <f>0</f>
        <v>0</v>
      </c>
      <c r="N67" s="43">
        <f>0</f>
        <v>0</v>
      </c>
      <c r="O67" s="43">
        <f>0</f>
        <v>0</v>
      </c>
      <c r="P67" s="43">
        <f>0</f>
        <v>0</v>
      </c>
      <c r="Q67" s="43">
        <f>0</f>
        <v>0</v>
      </c>
      <c r="R67" s="43">
        <f>0</f>
        <v>0</v>
      </c>
      <c r="S67" s="43">
        <f>0</f>
        <v>0</v>
      </c>
    </row>
    <row r="68" spans="2:20" ht="15" customHeight="1" outlineLevel="2">
      <c r="B68" s="34" t="s">
        <v>204</v>
      </c>
      <c r="C68" s="204" t="s">
        <v>260</v>
      </c>
      <c r="D68" s="205" t="s">
        <v>260</v>
      </c>
      <c r="E68" s="70">
        <f>0</f>
        <v>0</v>
      </c>
      <c r="F68" s="40">
        <f>0</f>
        <v>0</v>
      </c>
      <c r="G68" s="40">
        <f>0</f>
        <v>0</v>
      </c>
      <c r="H68" s="41">
        <f>0</f>
        <v>0</v>
      </c>
      <c r="I68" s="42">
        <f>2967740.56</f>
        <v>2967740.56</v>
      </c>
      <c r="J68" s="43">
        <f>0</f>
        <v>0</v>
      </c>
      <c r="K68" s="43">
        <f>0</f>
        <v>0</v>
      </c>
      <c r="L68" s="43">
        <f>0</f>
        <v>0</v>
      </c>
      <c r="M68" s="43">
        <f>0</f>
        <v>0</v>
      </c>
      <c r="N68" s="43">
        <f>0</f>
        <v>0</v>
      </c>
      <c r="O68" s="43">
        <f>0</f>
        <v>0</v>
      </c>
      <c r="P68" s="43">
        <f>0</f>
        <v>0</v>
      </c>
      <c r="Q68" s="43">
        <f>0</f>
        <v>0</v>
      </c>
      <c r="R68" s="43">
        <f>0</f>
        <v>0</v>
      </c>
      <c r="S68" s="43">
        <f>0</f>
        <v>0</v>
      </c>
    </row>
    <row r="69" spans="2:20" ht="15" customHeight="1" outlineLevel="2">
      <c r="B69" s="34" t="s">
        <v>205</v>
      </c>
      <c r="C69" s="204" t="s">
        <v>261</v>
      </c>
      <c r="D69" s="205" t="s">
        <v>261</v>
      </c>
      <c r="E69" s="70">
        <f>0</f>
        <v>0</v>
      </c>
      <c r="F69" s="40">
        <f>0</f>
        <v>0</v>
      </c>
      <c r="G69" s="40">
        <f>0</f>
        <v>0</v>
      </c>
      <c r="H69" s="41">
        <f>0</f>
        <v>0</v>
      </c>
      <c r="I69" s="42">
        <f>380000</f>
        <v>380000</v>
      </c>
      <c r="J69" s="43">
        <f>0</f>
        <v>0</v>
      </c>
      <c r="K69" s="43">
        <f>0</f>
        <v>0</v>
      </c>
      <c r="L69" s="43">
        <f>0</f>
        <v>0</v>
      </c>
      <c r="M69" s="43">
        <f>0</f>
        <v>0</v>
      </c>
      <c r="N69" s="43">
        <f>0</f>
        <v>0</v>
      </c>
      <c r="O69" s="43">
        <f>0</f>
        <v>0</v>
      </c>
      <c r="P69" s="43">
        <f>0</f>
        <v>0</v>
      </c>
      <c r="Q69" s="43">
        <f>0</f>
        <v>0</v>
      </c>
      <c r="R69" s="43">
        <f>0</f>
        <v>0</v>
      </c>
      <c r="S69" s="43">
        <f>0</f>
        <v>0</v>
      </c>
    </row>
    <row r="70" spans="2:20" ht="26.25" customHeight="1" outlineLevel="1">
      <c r="B70" s="33">
        <v>12</v>
      </c>
      <c r="C70" s="219" t="s">
        <v>134</v>
      </c>
      <c r="D70" s="203" t="s">
        <v>134</v>
      </c>
      <c r="E70" s="73" t="s">
        <v>44</v>
      </c>
      <c r="F70" s="50" t="s">
        <v>44</v>
      </c>
      <c r="G70" s="50" t="s">
        <v>44</v>
      </c>
      <c r="H70" s="51" t="s">
        <v>44</v>
      </c>
      <c r="I70" s="52" t="s">
        <v>44</v>
      </c>
      <c r="J70" s="53" t="s">
        <v>44</v>
      </c>
      <c r="K70" s="53" t="s">
        <v>44</v>
      </c>
      <c r="L70" s="53" t="s">
        <v>44</v>
      </c>
      <c r="M70" s="53" t="s">
        <v>44</v>
      </c>
      <c r="N70" s="53" t="s">
        <v>44</v>
      </c>
      <c r="O70" s="53" t="s">
        <v>44</v>
      </c>
      <c r="P70" s="53" t="s">
        <v>44</v>
      </c>
      <c r="Q70" s="53" t="s">
        <v>44</v>
      </c>
      <c r="R70" s="53" t="s">
        <v>44</v>
      </c>
      <c r="S70" s="53" t="s">
        <v>44</v>
      </c>
      <c r="T70" s="31"/>
    </row>
    <row r="71" spans="2:20" ht="25.5" customHeight="1" outlineLevel="2">
      <c r="B71" s="34" t="s">
        <v>206</v>
      </c>
      <c r="C71" s="204" t="s">
        <v>427</v>
      </c>
      <c r="D71" s="205" t="s">
        <v>427</v>
      </c>
      <c r="E71" s="70">
        <f>0</f>
        <v>0</v>
      </c>
      <c r="F71" s="40">
        <f>0</f>
        <v>0</v>
      </c>
      <c r="G71" s="40">
        <f>0</f>
        <v>0</v>
      </c>
      <c r="H71" s="41">
        <f>931390.39</f>
        <v>931390.39</v>
      </c>
      <c r="I71" s="42">
        <f>1959769.75</f>
        <v>1959769.75</v>
      </c>
      <c r="J71" s="43">
        <f>222594.71</f>
        <v>222594.71</v>
      </c>
      <c r="K71" s="43">
        <f>0</f>
        <v>0</v>
      </c>
      <c r="L71" s="43">
        <f>0</f>
        <v>0</v>
      </c>
      <c r="M71" s="43">
        <f>0</f>
        <v>0</v>
      </c>
      <c r="N71" s="43">
        <f>0</f>
        <v>0</v>
      </c>
      <c r="O71" s="43">
        <f>0</f>
        <v>0</v>
      </c>
      <c r="P71" s="43">
        <f>0</f>
        <v>0</v>
      </c>
      <c r="Q71" s="43">
        <f>0</f>
        <v>0</v>
      </c>
      <c r="R71" s="43">
        <f>0</f>
        <v>0</v>
      </c>
      <c r="S71" s="43">
        <f>0</f>
        <v>0</v>
      </c>
    </row>
    <row r="72" spans="2:20" ht="15" customHeight="1" outlineLevel="3">
      <c r="B72" s="34" t="s">
        <v>136</v>
      </c>
      <c r="C72" s="204" t="s">
        <v>262</v>
      </c>
      <c r="D72" s="206" t="s">
        <v>262</v>
      </c>
      <c r="E72" s="70">
        <f>965905.76</f>
        <v>965905.76</v>
      </c>
      <c r="F72" s="40">
        <f>0</f>
        <v>0</v>
      </c>
      <c r="G72" s="40">
        <f>0</f>
        <v>0</v>
      </c>
      <c r="H72" s="41">
        <f>931390.39</f>
        <v>931390.39</v>
      </c>
      <c r="I72" s="42">
        <f>1776085.14</f>
        <v>1776085.14</v>
      </c>
      <c r="J72" s="43">
        <f>222594.71</f>
        <v>222594.71</v>
      </c>
      <c r="K72" s="43">
        <f>0</f>
        <v>0</v>
      </c>
      <c r="L72" s="43">
        <f>0</f>
        <v>0</v>
      </c>
      <c r="M72" s="43">
        <f>0</f>
        <v>0</v>
      </c>
      <c r="N72" s="43">
        <f>0</f>
        <v>0</v>
      </c>
      <c r="O72" s="43">
        <f>0</f>
        <v>0</v>
      </c>
      <c r="P72" s="43">
        <f>0</f>
        <v>0</v>
      </c>
      <c r="Q72" s="43">
        <f>0</f>
        <v>0</v>
      </c>
      <c r="R72" s="43">
        <f>0</f>
        <v>0</v>
      </c>
      <c r="S72" s="43">
        <f>0</f>
        <v>0</v>
      </c>
    </row>
    <row r="73" spans="2:20" ht="25.5" customHeight="1" outlineLevel="3">
      <c r="B73" s="34" t="s">
        <v>138</v>
      </c>
      <c r="C73" s="204" t="s">
        <v>263</v>
      </c>
      <c r="D73" s="207" t="s">
        <v>263</v>
      </c>
      <c r="E73" s="70">
        <f>0</f>
        <v>0</v>
      </c>
      <c r="F73" s="40">
        <f>0</f>
        <v>0</v>
      </c>
      <c r="G73" s="40">
        <f>0</f>
        <v>0</v>
      </c>
      <c r="H73" s="41">
        <f>0</f>
        <v>0</v>
      </c>
      <c r="I73" s="42">
        <f>1776085.14</f>
        <v>1776085.14</v>
      </c>
      <c r="J73" s="43">
        <f>222594.71</f>
        <v>222594.71</v>
      </c>
      <c r="K73" s="43">
        <f>0</f>
        <v>0</v>
      </c>
      <c r="L73" s="43">
        <f>0</f>
        <v>0</v>
      </c>
      <c r="M73" s="43">
        <f>0</f>
        <v>0</v>
      </c>
      <c r="N73" s="43">
        <f>0</f>
        <v>0</v>
      </c>
      <c r="O73" s="43">
        <f>0</f>
        <v>0</v>
      </c>
      <c r="P73" s="43">
        <f>0</f>
        <v>0</v>
      </c>
      <c r="Q73" s="43">
        <f>0</f>
        <v>0</v>
      </c>
      <c r="R73" s="43">
        <f>0</f>
        <v>0</v>
      </c>
      <c r="S73" s="43">
        <f>0</f>
        <v>0</v>
      </c>
    </row>
    <row r="74" spans="2:20" ht="25.5" customHeight="1" outlineLevel="2">
      <c r="B74" s="34" t="s">
        <v>207</v>
      </c>
      <c r="C74" s="204" t="s">
        <v>428</v>
      </c>
      <c r="D74" s="205" t="s">
        <v>428</v>
      </c>
      <c r="E74" s="70">
        <f>0</f>
        <v>0</v>
      </c>
      <c r="F74" s="40">
        <f>0</f>
        <v>0</v>
      </c>
      <c r="G74" s="40">
        <f>0</f>
        <v>0</v>
      </c>
      <c r="H74" s="41">
        <f>0</f>
        <v>0</v>
      </c>
      <c r="I74" s="42">
        <f>3109680.36</f>
        <v>3109680.36</v>
      </c>
      <c r="J74" s="43">
        <f>0</f>
        <v>0</v>
      </c>
      <c r="K74" s="43">
        <f>0</f>
        <v>0</v>
      </c>
      <c r="L74" s="43">
        <f>0</f>
        <v>0</v>
      </c>
      <c r="M74" s="43">
        <f>0</f>
        <v>0</v>
      </c>
      <c r="N74" s="43">
        <f>0</f>
        <v>0</v>
      </c>
      <c r="O74" s="43">
        <f>0</f>
        <v>0</v>
      </c>
      <c r="P74" s="43">
        <f>0</f>
        <v>0</v>
      </c>
      <c r="Q74" s="43">
        <f>0</f>
        <v>0</v>
      </c>
      <c r="R74" s="43">
        <f>0</f>
        <v>0</v>
      </c>
      <c r="S74" s="43">
        <f>0</f>
        <v>0</v>
      </c>
    </row>
    <row r="75" spans="2:20" ht="15" customHeight="1" outlineLevel="3">
      <c r="B75" s="34" t="s">
        <v>141</v>
      </c>
      <c r="C75" s="204" t="s">
        <v>262</v>
      </c>
      <c r="D75" s="206" t="s">
        <v>262</v>
      </c>
      <c r="E75" s="70">
        <f>3773685.71</f>
        <v>3773685.71</v>
      </c>
      <c r="F75" s="40">
        <f>0</f>
        <v>0</v>
      </c>
      <c r="G75" s="40">
        <f>3830155.48</f>
        <v>3830155.48</v>
      </c>
      <c r="H75" s="41">
        <f>3113726.16</f>
        <v>3113726.16</v>
      </c>
      <c r="I75" s="42">
        <f>3052450.3</f>
        <v>3052450.3</v>
      </c>
      <c r="J75" s="43">
        <f>0</f>
        <v>0</v>
      </c>
      <c r="K75" s="43">
        <f>0</f>
        <v>0</v>
      </c>
      <c r="L75" s="43">
        <f>0</f>
        <v>0</v>
      </c>
      <c r="M75" s="43">
        <f>0</f>
        <v>0</v>
      </c>
      <c r="N75" s="43">
        <f>0</f>
        <v>0</v>
      </c>
      <c r="O75" s="43">
        <f>0</f>
        <v>0</v>
      </c>
      <c r="P75" s="43">
        <f>0</f>
        <v>0</v>
      </c>
      <c r="Q75" s="43">
        <f>0</f>
        <v>0</v>
      </c>
      <c r="R75" s="43">
        <f>0</f>
        <v>0</v>
      </c>
      <c r="S75" s="43">
        <f>0</f>
        <v>0</v>
      </c>
    </row>
    <row r="76" spans="2:20" ht="25.5" customHeight="1" outlineLevel="3">
      <c r="B76" s="34" t="s">
        <v>143</v>
      </c>
      <c r="C76" s="204" t="s">
        <v>263</v>
      </c>
      <c r="D76" s="207" t="s">
        <v>263</v>
      </c>
      <c r="E76" s="70">
        <f>0</f>
        <v>0</v>
      </c>
      <c r="F76" s="40">
        <f>0</f>
        <v>0</v>
      </c>
      <c r="G76" s="40">
        <f>0</f>
        <v>0</v>
      </c>
      <c r="H76" s="41">
        <f>0</f>
        <v>0</v>
      </c>
      <c r="I76" s="42">
        <f>3052450.3</f>
        <v>3052450.3</v>
      </c>
      <c r="J76" s="43">
        <f>0</f>
        <v>0</v>
      </c>
      <c r="K76" s="43">
        <f>0</f>
        <v>0</v>
      </c>
      <c r="L76" s="43">
        <f>0</f>
        <v>0</v>
      </c>
      <c r="M76" s="43">
        <f>0</f>
        <v>0</v>
      </c>
      <c r="N76" s="43">
        <f>0</f>
        <v>0</v>
      </c>
      <c r="O76" s="43">
        <f>0</f>
        <v>0</v>
      </c>
      <c r="P76" s="43">
        <f>0</f>
        <v>0</v>
      </c>
      <c r="Q76" s="43">
        <f>0</f>
        <v>0</v>
      </c>
      <c r="R76" s="43">
        <f>0</f>
        <v>0</v>
      </c>
      <c r="S76" s="43">
        <f>0</f>
        <v>0</v>
      </c>
    </row>
    <row r="77" spans="2:20" ht="25.5" customHeight="1" outlineLevel="2">
      <c r="B77" s="34" t="s">
        <v>208</v>
      </c>
      <c r="C77" s="204" t="s">
        <v>264</v>
      </c>
      <c r="D77" s="205" t="s">
        <v>264</v>
      </c>
      <c r="E77" s="70">
        <f>0</f>
        <v>0</v>
      </c>
      <c r="F77" s="40">
        <f>0</f>
        <v>0</v>
      </c>
      <c r="G77" s="40">
        <f>0</f>
        <v>0</v>
      </c>
      <c r="H77" s="41">
        <f>0</f>
        <v>0</v>
      </c>
      <c r="I77" s="42">
        <f>1974899.23</f>
        <v>1974899.23</v>
      </c>
      <c r="J77" s="43">
        <f>262135.15</f>
        <v>262135.15</v>
      </c>
      <c r="K77" s="43">
        <f>0</f>
        <v>0</v>
      </c>
      <c r="L77" s="43">
        <f>0</f>
        <v>0</v>
      </c>
      <c r="M77" s="43">
        <f>0</f>
        <v>0</v>
      </c>
      <c r="N77" s="43">
        <f>0</f>
        <v>0</v>
      </c>
      <c r="O77" s="43">
        <f>0</f>
        <v>0</v>
      </c>
      <c r="P77" s="43">
        <f>0</f>
        <v>0</v>
      </c>
      <c r="Q77" s="43">
        <f>0</f>
        <v>0</v>
      </c>
      <c r="R77" s="43">
        <f>0</f>
        <v>0</v>
      </c>
      <c r="S77" s="43">
        <f>0</f>
        <v>0</v>
      </c>
    </row>
    <row r="78" spans="2:20" ht="15" customHeight="1" outlineLevel="3">
      <c r="B78" s="34" t="s">
        <v>146</v>
      </c>
      <c r="C78" s="204" t="s">
        <v>266</v>
      </c>
      <c r="D78" s="206" t="s">
        <v>266</v>
      </c>
      <c r="E78" s="70">
        <f>0</f>
        <v>0</v>
      </c>
      <c r="F78" s="40">
        <f>0</f>
        <v>0</v>
      </c>
      <c r="G78" s="40">
        <f>1221877.52</f>
        <v>1221877.52</v>
      </c>
      <c r="H78" s="41">
        <f>1128926.89</f>
        <v>1128926.8899999999</v>
      </c>
      <c r="I78" s="42">
        <f>1681470</f>
        <v>1681470</v>
      </c>
      <c r="J78" s="43">
        <f>222594.71</f>
        <v>222594.71</v>
      </c>
      <c r="K78" s="43">
        <f>0</f>
        <v>0</v>
      </c>
      <c r="L78" s="43">
        <f>0</f>
        <v>0</v>
      </c>
      <c r="M78" s="43">
        <f>0</f>
        <v>0</v>
      </c>
      <c r="N78" s="43">
        <f>0</f>
        <v>0</v>
      </c>
      <c r="O78" s="43">
        <f>0</f>
        <v>0</v>
      </c>
      <c r="P78" s="43">
        <f>0</f>
        <v>0</v>
      </c>
      <c r="Q78" s="43">
        <f>0</f>
        <v>0</v>
      </c>
      <c r="R78" s="43">
        <f>0</f>
        <v>0</v>
      </c>
      <c r="S78" s="43">
        <f>0</f>
        <v>0</v>
      </c>
    </row>
    <row r="79" spans="2:20" ht="25.5" customHeight="1" outlineLevel="3">
      <c r="B79" s="34" t="s">
        <v>148</v>
      </c>
      <c r="C79" s="204" t="s">
        <v>265</v>
      </c>
      <c r="D79" s="206" t="s">
        <v>265</v>
      </c>
      <c r="E79" s="70">
        <f>0</f>
        <v>0</v>
      </c>
      <c r="F79" s="40">
        <f>0</f>
        <v>0</v>
      </c>
      <c r="G79" s="40">
        <f>0</f>
        <v>0</v>
      </c>
      <c r="H79" s="41">
        <f>0</f>
        <v>0</v>
      </c>
      <c r="I79" s="42">
        <f>1974899.23</f>
        <v>1974899.23</v>
      </c>
      <c r="J79" s="43">
        <f>0</f>
        <v>0</v>
      </c>
      <c r="K79" s="43">
        <f>0</f>
        <v>0</v>
      </c>
      <c r="L79" s="43">
        <f>0</f>
        <v>0</v>
      </c>
      <c r="M79" s="43">
        <f>0</f>
        <v>0</v>
      </c>
      <c r="N79" s="43">
        <f>0</f>
        <v>0</v>
      </c>
      <c r="O79" s="43">
        <f>0</f>
        <v>0</v>
      </c>
      <c r="P79" s="43">
        <f>0</f>
        <v>0</v>
      </c>
      <c r="Q79" s="43">
        <f>0</f>
        <v>0</v>
      </c>
      <c r="R79" s="43">
        <f>0</f>
        <v>0</v>
      </c>
      <c r="S79" s="43">
        <f>0</f>
        <v>0</v>
      </c>
    </row>
    <row r="80" spans="2:20" ht="25.5" customHeight="1" outlineLevel="2">
      <c r="B80" s="34" t="s">
        <v>209</v>
      </c>
      <c r="C80" s="204" t="s">
        <v>267</v>
      </c>
      <c r="D80" s="205" t="s">
        <v>267</v>
      </c>
      <c r="E80" s="70">
        <f>0</f>
        <v>0</v>
      </c>
      <c r="F80" s="40">
        <f>0</f>
        <v>0</v>
      </c>
      <c r="G80" s="40">
        <f>0</f>
        <v>0</v>
      </c>
      <c r="H80" s="41">
        <f>0</f>
        <v>0</v>
      </c>
      <c r="I80" s="42">
        <f>735014.91</f>
        <v>735014.91</v>
      </c>
      <c r="J80" s="43">
        <f>0</f>
        <v>0</v>
      </c>
      <c r="K80" s="43">
        <f>0</f>
        <v>0</v>
      </c>
      <c r="L80" s="43">
        <f>0</f>
        <v>0</v>
      </c>
      <c r="M80" s="43">
        <f>0</f>
        <v>0</v>
      </c>
      <c r="N80" s="43">
        <f>0</f>
        <v>0</v>
      </c>
      <c r="O80" s="43">
        <f>0</f>
        <v>0</v>
      </c>
      <c r="P80" s="43">
        <f>0</f>
        <v>0</v>
      </c>
      <c r="Q80" s="43">
        <f>0</f>
        <v>0</v>
      </c>
      <c r="R80" s="43">
        <f>0</f>
        <v>0</v>
      </c>
      <c r="S80" s="43">
        <f>0</f>
        <v>0</v>
      </c>
    </row>
    <row r="81" spans="1:20" ht="15" customHeight="1" outlineLevel="3">
      <c r="B81" s="34" t="s">
        <v>151</v>
      </c>
      <c r="C81" s="204" t="s">
        <v>268</v>
      </c>
      <c r="D81" s="206" t="s">
        <v>268</v>
      </c>
      <c r="E81" s="70">
        <f>0</f>
        <v>0</v>
      </c>
      <c r="F81" s="40">
        <f>0</f>
        <v>0</v>
      </c>
      <c r="G81" s="40">
        <f>3830155.48</f>
        <v>3830155.48</v>
      </c>
      <c r="H81" s="41">
        <f>3360023.79</f>
        <v>3360023.79</v>
      </c>
      <c r="I81" s="42">
        <f>529995.71</f>
        <v>529995.71</v>
      </c>
      <c r="J81" s="43">
        <f>0</f>
        <v>0</v>
      </c>
      <c r="K81" s="43">
        <f>0</f>
        <v>0</v>
      </c>
      <c r="L81" s="43">
        <f>0</f>
        <v>0</v>
      </c>
      <c r="M81" s="43">
        <f>0</f>
        <v>0</v>
      </c>
      <c r="N81" s="43">
        <f>0</f>
        <v>0</v>
      </c>
      <c r="O81" s="43">
        <f>0</f>
        <v>0</v>
      </c>
      <c r="P81" s="43">
        <f>0</f>
        <v>0</v>
      </c>
      <c r="Q81" s="43">
        <f>0</f>
        <v>0</v>
      </c>
      <c r="R81" s="43">
        <f>0</f>
        <v>0</v>
      </c>
      <c r="S81" s="43">
        <f>0</f>
        <v>0</v>
      </c>
    </row>
    <row r="82" spans="1:20" ht="25.5" customHeight="1" outlineLevel="3">
      <c r="B82" s="34" t="s">
        <v>153</v>
      </c>
      <c r="C82" s="204" t="s">
        <v>269</v>
      </c>
      <c r="D82" s="206" t="s">
        <v>269</v>
      </c>
      <c r="E82" s="70">
        <f>0</f>
        <v>0</v>
      </c>
      <c r="F82" s="40">
        <f>0</f>
        <v>0</v>
      </c>
      <c r="G82" s="40">
        <f>0</f>
        <v>0</v>
      </c>
      <c r="H82" s="41">
        <f>0</f>
        <v>0</v>
      </c>
      <c r="I82" s="42">
        <f>735014.91</f>
        <v>735014.91</v>
      </c>
      <c r="J82" s="43">
        <f>0</f>
        <v>0</v>
      </c>
      <c r="K82" s="43">
        <f>0</f>
        <v>0</v>
      </c>
      <c r="L82" s="43">
        <f>0</f>
        <v>0</v>
      </c>
      <c r="M82" s="43">
        <f>0</f>
        <v>0</v>
      </c>
      <c r="N82" s="43">
        <f>0</f>
        <v>0</v>
      </c>
      <c r="O82" s="43">
        <f>0</f>
        <v>0</v>
      </c>
      <c r="P82" s="43">
        <f>0</f>
        <v>0</v>
      </c>
      <c r="Q82" s="43">
        <f>0</f>
        <v>0</v>
      </c>
      <c r="R82" s="43">
        <f>0</f>
        <v>0</v>
      </c>
      <c r="S82" s="43">
        <f>0</f>
        <v>0</v>
      </c>
    </row>
    <row r="83" spans="1:20" ht="25.5" customHeight="1" outlineLevel="1">
      <c r="B83" s="33">
        <v>13</v>
      </c>
      <c r="C83" s="219" t="s">
        <v>155</v>
      </c>
      <c r="D83" s="202" t="s">
        <v>155</v>
      </c>
      <c r="E83" s="73" t="s">
        <v>44</v>
      </c>
      <c r="F83" s="50" t="s">
        <v>44</v>
      </c>
      <c r="G83" s="50" t="s">
        <v>44</v>
      </c>
      <c r="H83" s="51" t="s">
        <v>44</v>
      </c>
      <c r="I83" s="52" t="s">
        <v>44</v>
      </c>
      <c r="J83" s="53" t="s">
        <v>44</v>
      </c>
      <c r="K83" s="53" t="s">
        <v>44</v>
      </c>
      <c r="L83" s="53" t="s">
        <v>44</v>
      </c>
      <c r="M83" s="53" t="s">
        <v>44</v>
      </c>
      <c r="N83" s="53" t="s">
        <v>44</v>
      </c>
      <c r="O83" s="53" t="s">
        <v>44</v>
      </c>
      <c r="P83" s="53" t="s">
        <v>44</v>
      </c>
      <c r="Q83" s="53" t="s">
        <v>44</v>
      </c>
      <c r="R83" s="53" t="s">
        <v>44</v>
      </c>
      <c r="S83" s="53" t="s">
        <v>44</v>
      </c>
      <c r="T83" s="31"/>
    </row>
    <row r="84" spans="1:20" ht="25.5" customHeight="1" outlineLevel="2">
      <c r="B84" s="34" t="s">
        <v>210</v>
      </c>
      <c r="C84" s="204" t="s">
        <v>270</v>
      </c>
      <c r="D84" s="205" t="s">
        <v>270</v>
      </c>
      <c r="E84" s="70">
        <f>0</f>
        <v>0</v>
      </c>
      <c r="F84" s="40">
        <f>0</f>
        <v>0</v>
      </c>
      <c r="G84" s="40">
        <f>0</f>
        <v>0</v>
      </c>
      <c r="H84" s="41">
        <f>0</f>
        <v>0</v>
      </c>
      <c r="I84" s="42">
        <f>0</f>
        <v>0</v>
      </c>
      <c r="J84" s="43">
        <f>0</f>
        <v>0</v>
      </c>
      <c r="K84" s="43">
        <f>0</f>
        <v>0</v>
      </c>
      <c r="L84" s="43">
        <f>0</f>
        <v>0</v>
      </c>
      <c r="M84" s="43">
        <f>0</f>
        <v>0</v>
      </c>
      <c r="N84" s="43">
        <f>0</f>
        <v>0</v>
      </c>
      <c r="O84" s="43">
        <f>0</f>
        <v>0</v>
      </c>
      <c r="P84" s="43">
        <f>0</f>
        <v>0</v>
      </c>
      <c r="Q84" s="43">
        <f>0</f>
        <v>0</v>
      </c>
      <c r="R84" s="43">
        <f>0</f>
        <v>0</v>
      </c>
      <c r="S84" s="43">
        <f>0</f>
        <v>0</v>
      </c>
    </row>
    <row r="85" spans="1:20" ht="25.5" customHeight="1" outlineLevel="2">
      <c r="B85" s="34" t="s">
        <v>211</v>
      </c>
      <c r="C85" s="204" t="s">
        <v>429</v>
      </c>
      <c r="D85" s="205" t="s">
        <v>429</v>
      </c>
      <c r="E85" s="70">
        <f>0</f>
        <v>0</v>
      </c>
      <c r="F85" s="40">
        <f>0</f>
        <v>0</v>
      </c>
      <c r="G85" s="40">
        <f>0</f>
        <v>0</v>
      </c>
      <c r="H85" s="41">
        <f>0</f>
        <v>0</v>
      </c>
      <c r="I85" s="42">
        <f>0</f>
        <v>0</v>
      </c>
      <c r="J85" s="43">
        <f>0</f>
        <v>0</v>
      </c>
      <c r="K85" s="43">
        <f>0</f>
        <v>0</v>
      </c>
      <c r="L85" s="43">
        <f>0</f>
        <v>0</v>
      </c>
      <c r="M85" s="43">
        <f>0</f>
        <v>0</v>
      </c>
      <c r="N85" s="43">
        <f>0</f>
        <v>0</v>
      </c>
      <c r="O85" s="43">
        <f>0</f>
        <v>0</v>
      </c>
      <c r="P85" s="43">
        <f>0</f>
        <v>0</v>
      </c>
      <c r="Q85" s="43">
        <f>0</f>
        <v>0</v>
      </c>
      <c r="R85" s="43">
        <f>0</f>
        <v>0</v>
      </c>
      <c r="S85" s="43">
        <f>0</f>
        <v>0</v>
      </c>
    </row>
    <row r="86" spans="1:20" ht="25.5" customHeight="1" outlineLevel="2">
      <c r="B86" s="34" t="s">
        <v>212</v>
      </c>
      <c r="C86" s="204" t="s">
        <v>271</v>
      </c>
      <c r="D86" s="205" t="s">
        <v>271</v>
      </c>
      <c r="E86" s="70">
        <f>0</f>
        <v>0</v>
      </c>
      <c r="F86" s="40">
        <f>0</f>
        <v>0</v>
      </c>
      <c r="G86" s="40">
        <f>0</f>
        <v>0</v>
      </c>
      <c r="H86" s="41">
        <f>0</f>
        <v>0</v>
      </c>
      <c r="I86" s="42">
        <f>0</f>
        <v>0</v>
      </c>
      <c r="J86" s="43">
        <f>0</f>
        <v>0</v>
      </c>
      <c r="K86" s="43">
        <f>0</f>
        <v>0</v>
      </c>
      <c r="L86" s="43">
        <f>0</f>
        <v>0</v>
      </c>
      <c r="M86" s="43">
        <f>0</f>
        <v>0</v>
      </c>
      <c r="N86" s="43">
        <f>0</f>
        <v>0</v>
      </c>
      <c r="O86" s="43">
        <f>0</f>
        <v>0</v>
      </c>
      <c r="P86" s="43">
        <f>0</f>
        <v>0</v>
      </c>
      <c r="Q86" s="43">
        <f>0</f>
        <v>0</v>
      </c>
      <c r="R86" s="43">
        <f>0</f>
        <v>0</v>
      </c>
      <c r="S86" s="43">
        <f>0</f>
        <v>0</v>
      </c>
    </row>
    <row r="87" spans="1:20" ht="25.5" customHeight="1" outlineLevel="2">
      <c r="B87" s="34" t="s">
        <v>213</v>
      </c>
      <c r="C87" s="204" t="s">
        <v>430</v>
      </c>
      <c r="D87" s="205" t="s">
        <v>430</v>
      </c>
      <c r="E87" s="70">
        <f>0</f>
        <v>0</v>
      </c>
      <c r="F87" s="40">
        <f>0</f>
        <v>0</v>
      </c>
      <c r="G87" s="40">
        <f>0</f>
        <v>0</v>
      </c>
      <c r="H87" s="41">
        <f>0</f>
        <v>0</v>
      </c>
      <c r="I87" s="42">
        <f>0</f>
        <v>0</v>
      </c>
      <c r="J87" s="43">
        <f>0</f>
        <v>0</v>
      </c>
      <c r="K87" s="43">
        <f>0</f>
        <v>0</v>
      </c>
      <c r="L87" s="43">
        <f>0</f>
        <v>0</v>
      </c>
      <c r="M87" s="43">
        <f>0</f>
        <v>0</v>
      </c>
      <c r="N87" s="43">
        <f>0</f>
        <v>0</v>
      </c>
      <c r="O87" s="43">
        <f>0</f>
        <v>0</v>
      </c>
      <c r="P87" s="43">
        <f>0</f>
        <v>0</v>
      </c>
      <c r="Q87" s="43">
        <f>0</f>
        <v>0</v>
      </c>
      <c r="R87" s="43">
        <f>0</f>
        <v>0</v>
      </c>
      <c r="S87" s="43">
        <f>0</f>
        <v>0</v>
      </c>
    </row>
    <row r="88" spans="1:20" ht="25.5" customHeight="1" outlineLevel="2">
      <c r="B88" s="34" t="s">
        <v>214</v>
      </c>
      <c r="C88" s="204" t="s">
        <v>431</v>
      </c>
      <c r="D88" s="205" t="s">
        <v>431</v>
      </c>
      <c r="E88" s="70">
        <f>0</f>
        <v>0</v>
      </c>
      <c r="F88" s="40">
        <f>0</f>
        <v>0</v>
      </c>
      <c r="G88" s="40">
        <f>0</f>
        <v>0</v>
      </c>
      <c r="H88" s="41">
        <f>0</f>
        <v>0</v>
      </c>
      <c r="I88" s="42">
        <f>0</f>
        <v>0</v>
      </c>
      <c r="J88" s="43">
        <f>0</f>
        <v>0</v>
      </c>
      <c r="K88" s="43">
        <f>0</f>
        <v>0</v>
      </c>
      <c r="L88" s="43">
        <f>0</f>
        <v>0</v>
      </c>
      <c r="M88" s="43">
        <f>0</f>
        <v>0</v>
      </c>
      <c r="N88" s="43">
        <f>0</f>
        <v>0</v>
      </c>
      <c r="O88" s="43">
        <f>0</f>
        <v>0</v>
      </c>
      <c r="P88" s="43">
        <f>0</f>
        <v>0</v>
      </c>
      <c r="Q88" s="43">
        <f>0</f>
        <v>0</v>
      </c>
      <c r="R88" s="43">
        <f>0</f>
        <v>0</v>
      </c>
      <c r="S88" s="43">
        <f>0</f>
        <v>0</v>
      </c>
    </row>
    <row r="89" spans="1:20" ht="25.5" customHeight="1" outlineLevel="2">
      <c r="B89" s="34" t="s">
        <v>215</v>
      </c>
      <c r="C89" s="204" t="s">
        <v>272</v>
      </c>
      <c r="D89" s="205" t="s">
        <v>272</v>
      </c>
      <c r="E89" s="70">
        <f>0</f>
        <v>0</v>
      </c>
      <c r="F89" s="40">
        <f>0</f>
        <v>0</v>
      </c>
      <c r="G89" s="40">
        <f>0</f>
        <v>0</v>
      </c>
      <c r="H89" s="41">
        <f>0</f>
        <v>0</v>
      </c>
      <c r="I89" s="42">
        <f>0</f>
        <v>0</v>
      </c>
      <c r="J89" s="43">
        <f>0</f>
        <v>0</v>
      </c>
      <c r="K89" s="43">
        <f>0</f>
        <v>0</v>
      </c>
      <c r="L89" s="43">
        <f>0</f>
        <v>0</v>
      </c>
      <c r="M89" s="43">
        <f>0</f>
        <v>0</v>
      </c>
      <c r="N89" s="43">
        <f>0</f>
        <v>0</v>
      </c>
      <c r="O89" s="43">
        <f>0</f>
        <v>0</v>
      </c>
      <c r="P89" s="43">
        <f>0</f>
        <v>0</v>
      </c>
      <c r="Q89" s="43">
        <f>0</f>
        <v>0</v>
      </c>
      <c r="R89" s="43">
        <f>0</f>
        <v>0</v>
      </c>
      <c r="S89" s="43">
        <f>0</f>
        <v>0</v>
      </c>
    </row>
    <row r="90" spans="1:20" ht="25.5" customHeight="1" outlineLevel="2">
      <c r="B90" s="34" t="s">
        <v>216</v>
      </c>
      <c r="C90" s="204" t="s">
        <v>273</v>
      </c>
      <c r="D90" s="205" t="s">
        <v>273</v>
      </c>
      <c r="E90" s="70">
        <f>0</f>
        <v>0</v>
      </c>
      <c r="F90" s="40">
        <f>0</f>
        <v>0</v>
      </c>
      <c r="G90" s="40">
        <f>0</f>
        <v>0</v>
      </c>
      <c r="H90" s="41">
        <f>0</f>
        <v>0</v>
      </c>
      <c r="I90" s="42">
        <f>0</f>
        <v>0</v>
      </c>
      <c r="J90" s="43">
        <f>0</f>
        <v>0</v>
      </c>
      <c r="K90" s="43">
        <f>0</f>
        <v>0</v>
      </c>
      <c r="L90" s="43">
        <f>0</f>
        <v>0</v>
      </c>
      <c r="M90" s="43">
        <f>0</f>
        <v>0</v>
      </c>
      <c r="N90" s="43">
        <f>0</f>
        <v>0</v>
      </c>
      <c r="O90" s="43">
        <f>0</f>
        <v>0</v>
      </c>
      <c r="P90" s="43">
        <f>0</f>
        <v>0</v>
      </c>
      <c r="Q90" s="43">
        <f>0</f>
        <v>0</v>
      </c>
      <c r="R90" s="43">
        <f>0</f>
        <v>0</v>
      </c>
      <c r="S90" s="43">
        <f>0</f>
        <v>0</v>
      </c>
    </row>
    <row r="91" spans="1:20" ht="15" customHeight="1" outlineLevel="1">
      <c r="A91" s="218" t="s">
        <v>44</v>
      </c>
      <c r="B91" s="33">
        <v>14</v>
      </c>
      <c r="C91" s="219" t="s">
        <v>163</v>
      </c>
      <c r="D91" s="203" t="s">
        <v>163</v>
      </c>
      <c r="E91" s="73" t="s">
        <v>44</v>
      </c>
      <c r="F91" s="50" t="s">
        <v>44</v>
      </c>
      <c r="G91" s="50" t="s">
        <v>44</v>
      </c>
      <c r="H91" s="51" t="s">
        <v>44</v>
      </c>
      <c r="I91" s="52" t="s">
        <v>44</v>
      </c>
      <c r="J91" s="53" t="s">
        <v>44</v>
      </c>
      <c r="K91" s="53" t="s">
        <v>44</v>
      </c>
      <c r="L91" s="53" t="s">
        <v>44</v>
      </c>
      <c r="M91" s="53" t="s">
        <v>44</v>
      </c>
      <c r="N91" s="53" t="s">
        <v>44</v>
      </c>
      <c r="O91" s="53" t="s">
        <v>44</v>
      </c>
      <c r="P91" s="53" t="s">
        <v>44</v>
      </c>
      <c r="Q91" s="53" t="s">
        <v>44</v>
      </c>
      <c r="R91" s="53" t="s">
        <v>44</v>
      </c>
      <c r="S91" s="53" t="s">
        <v>44</v>
      </c>
      <c r="T91" s="31"/>
    </row>
    <row r="92" spans="1:20" ht="25.5" customHeight="1" outlineLevel="2">
      <c r="A92" s="218" t="s">
        <v>44</v>
      </c>
      <c r="B92" s="34" t="s">
        <v>217</v>
      </c>
      <c r="C92" s="204" t="s">
        <v>274</v>
      </c>
      <c r="D92" s="205" t="s">
        <v>274</v>
      </c>
      <c r="E92" s="70">
        <f>0</f>
        <v>0</v>
      </c>
      <c r="F92" s="40">
        <f>0</f>
        <v>0</v>
      </c>
      <c r="G92" s="40">
        <f>0</f>
        <v>0</v>
      </c>
      <c r="H92" s="41">
        <f>0</f>
        <v>0</v>
      </c>
      <c r="I92" s="42">
        <f>4710000</f>
        <v>4710000</v>
      </c>
      <c r="J92" s="43">
        <f>938060.16</f>
        <v>938060.16</v>
      </c>
      <c r="K92" s="43">
        <f>1215692</f>
        <v>1215692</v>
      </c>
      <c r="L92" s="43">
        <f>1565696</f>
        <v>1565696</v>
      </c>
      <c r="M92" s="43">
        <f>1915700</f>
        <v>1915700</v>
      </c>
      <c r="N92" s="43">
        <f>1478204</f>
        <v>1478204</v>
      </c>
      <c r="O92" s="43">
        <f>1310004</f>
        <v>1310004</v>
      </c>
      <c r="P92" s="43">
        <f>1310004</f>
        <v>1310004</v>
      </c>
      <c r="Q92" s="43">
        <f>710004</f>
        <v>710004</v>
      </c>
      <c r="R92" s="43">
        <f>350004</f>
        <v>350004</v>
      </c>
      <c r="S92" s="43">
        <f>0</f>
        <v>0</v>
      </c>
    </row>
    <row r="93" spans="1:20" ht="15" customHeight="1" outlineLevel="2">
      <c r="A93" s="218" t="s">
        <v>44</v>
      </c>
      <c r="B93" s="34" t="s">
        <v>218</v>
      </c>
      <c r="C93" s="204" t="s">
        <v>275</v>
      </c>
      <c r="D93" s="205" t="s">
        <v>275</v>
      </c>
      <c r="E93" s="70">
        <f>0</f>
        <v>0</v>
      </c>
      <c r="F93" s="40">
        <f>0</f>
        <v>0</v>
      </c>
      <c r="G93" s="40">
        <f>0</f>
        <v>0</v>
      </c>
      <c r="H93" s="41">
        <f>0</f>
        <v>0</v>
      </c>
      <c r="I93" s="42">
        <f>0</f>
        <v>0</v>
      </c>
      <c r="J93" s="43">
        <f>0</f>
        <v>0</v>
      </c>
      <c r="K93" s="43">
        <f>0</f>
        <v>0</v>
      </c>
      <c r="L93" s="43">
        <f>0</f>
        <v>0</v>
      </c>
      <c r="M93" s="43">
        <f>0</f>
        <v>0</v>
      </c>
      <c r="N93" s="43">
        <f>0</f>
        <v>0</v>
      </c>
      <c r="O93" s="43">
        <f>0</f>
        <v>0</v>
      </c>
      <c r="P93" s="43">
        <f>0</f>
        <v>0</v>
      </c>
      <c r="Q93" s="43">
        <f>0</f>
        <v>0</v>
      </c>
      <c r="R93" s="43">
        <f>0</f>
        <v>0</v>
      </c>
      <c r="S93" s="43">
        <f>0</f>
        <v>0</v>
      </c>
    </row>
    <row r="94" spans="1:20" ht="15" customHeight="1" outlineLevel="2">
      <c r="A94" s="218" t="s">
        <v>44</v>
      </c>
      <c r="B94" s="34" t="s">
        <v>219</v>
      </c>
      <c r="C94" s="204" t="s">
        <v>277</v>
      </c>
      <c r="D94" s="205" t="s">
        <v>277</v>
      </c>
      <c r="E94" s="70">
        <f>0</f>
        <v>0</v>
      </c>
      <c r="F94" s="40">
        <f>0</f>
        <v>0</v>
      </c>
      <c r="G94" s="40">
        <f>0</f>
        <v>0</v>
      </c>
      <c r="H94" s="41">
        <f>0</f>
        <v>0</v>
      </c>
      <c r="I94" s="42">
        <f>0</f>
        <v>0</v>
      </c>
      <c r="J94" s="43">
        <f>0</f>
        <v>0</v>
      </c>
      <c r="K94" s="43">
        <f>0</f>
        <v>0</v>
      </c>
      <c r="L94" s="43">
        <f>0</f>
        <v>0</v>
      </c>
      <c r="M94" s="43">
        <f>0</f>
        <v>0</v>
      </c>
      <c r="N94" s="43">
        <f>0</f>
        <v>0</v>
      </c>
      <c r="O94" s="43">
        <f>0</f>
        <v>0</v>
      </c>
      <c r="P94" s="43">
        <f>0</f>
        <v>0</v>
      </c>
      <c r="Q94" s="43">
        <f>0</f>
        <v>0</v>
      </c>
      <c r="R94" s="43">
        <f>0</f>
        <v>0</v>
      </c>
      <c r="S94" s="43">
        <f>0</f>
        <v>0</v>
      </c>
    </row>
    <row r="95" spans="1:20" ht="15" customHeight="1" outlineLevel="3">
      <c r="A95" s="218" t="s">
        <v>44</v>
      </c>
      <c r="B95" s="34" t="s">
        <v>167</v>
      </c>
      <c r="C95" s="204" t="s">
        <v>276</v>
      </c>
      <c r="D95" s="206" t="s">
        <v>276</v>
      </c>
      <c r="E95" s="70">
        <f>0</f>
        <v>0</v>
      </c>
      <c r="F95" s="40">
        <f>0</f>
        <v>0</v>
      </c>
      <c r="G95" s="40">
        <f>0</f>
        <v>0</v>
      </c>
      <c r="H95" s="41">
        <f>0</f>
        <v>0</v>
      </c>
      <c r="I95" s="42">
        <f>0</f>
        <v>0</v>
      </c>
      <c r="J95" s="43">
        <f>0</f>
        <v>0</v>
      </c>
      <c r="K95" s="43">
        <f>0</f>
        <v>0</v>
      </c>
      <c r="L95" s="43">
        <f>0</f>
        <v>0</v>
      </c>
      <c r="M95" s="43">
        <f>0</f>
        <v>0</v>
      </c>
      <c r="N95" s="43">
        <f>0</f>
        <v>0</v>
      </c>
      <c r="O95" s="43">
        <f>0</f>
        <v>0</v>
      </c>
      <c r="P95" s="43">
        <f>0</f>
        <v>0</v>
      </c>
      <c r="Q95" s="43">
        <f>0</f>
        <v>0</v>
      </c>
      <c r="R95" s="43">
        <f>0</f>
        <v>0</v>
      </c>
      <c r="S95" s="43">
        <f>0</f>
        <v>0</v>
      </c>
    </row>
    <row r="96" spans="1:20" ht="15" customHeight="1" outlineLevel="3">
      <c r="A96" s="218" t="s">
        <v>44</v>
      </c>
      <c r="B96" s="34" t="s">
        <v>169</v>
      </c>
      <c r="C96" s="204" t="s">
        <v>278</v>
      </c>
      <c r="D96" s="206" t="s">
        <v>278</v>
      </c>
      <c r="E96" s="70">
        <f>0</f>
        <v>0</v>
      </c>
      <c r="F96" s="40">
        <f>0</f>
        <v>0</v>
      </c>
      <c r="G96" s="40">
        <f>0</f>
        <v>0</v>
      </c>
      <c r="H96" s="41">
        <f>0</f>
        <v>0</v>
      </c>
      <c r="I96" s="42">
        <f>0</f>
        <v>0</v>
      </c>
      <c r="J96" s="43">
        <f>0</f>
        <v>0</v>
      </c>
      <c r="K96" s="43">
        <f>0</f>
        <v>0</v>
      </c>
      <c r="L96" s="43">
        <f>0</f>
        <v>0</v>
      </c>
      <c r="M96" s="43">
        <f>0</f>
        <v>0</v>
      </c>
      <c r="N96" s="43">
        <f>0</f>
        <v>0</v>
      </c>
      <c r="O96" s="43">
        <f>0</f>
        <v>0</v>
      </c>
      <c r="P96" s="43">
        <f>0</f>
        <v>0</v>
      </c>
      <c r="Q96" s="43">
        <f>0</f>
        <v>0</v>
      </c>
      <c r="R96" s="43">
        <f>0</f>
        <v>0</v>
      </c>
      <c r="S96" s="43">
        <f>0</f>
        <v>0</v>
      </c>
    </row>
    <row r="97" spans="1:20" ht="15" customHeight="1" outlineLevel="3">
      <c r="A97" s="218" t="s">
        <v>44</v>
      </c>
      <c r="B97" s="34" t="s">
        <v>171</v>
      </c>
      <c r="C97" s="204" t="s">
        <v>279</v>
      </c>
      <c r="D97" s="206" t="s">
        <v>279</v>
      </c>
      <c r="E97" s="70">
        <f>0</f>
        <v>0</v>
      </c>
      <c r="F97" s="40">
        <f>0</f>
        <v>0</v>
      </c>
      <c r="G97" s="40">
        <f>0</f>
        <v>0</v>
      </c>
      <c r="H97" s="41">
        <f>0</f>
        <v>0</v>
      </c>
      <c r="I97" s="42">
        <f>0</f>
        <v>0</v>
      </c>
      <c r="J97" s="43">
        <f>0</f>
        <v>0</v>
      </c>
      <c r="K97" s="43">
        <f>0</f>
        <v>0</v>
      </c>
      <c r="L97" s="43">
        <f>0</f>
        <v>0</v>
      </c>
      <c r="M97" s="43">
        <f>0</f>
        <v>0</v>
      </c>
      <c r="N97" s="43">
        <f>0</f>
        <v>0</v>
      </c>
      <c r="O97" s="43">
        <f>0</f>
        <v>0</v>
      </c>
      <c r="P97" s="43">
        <f>0</f>
        <v>0</v>
      </c>
      <c r="Q97" s="43">
        <f>0</f>
        <v>0</v>
      </c>
      <c r="R97" s="43">
        <f>0</f>
        <v>0</v>
      </c>
      <c r="S97" s="43">
        <f>0</f>
        <v>0</v>
      </c>
    </row>
    <row r="98" spans="1:20" ht="15" customHeight="1" outlineLevel="2">
      <c r="A98" s="218" t="s">
        <v>44</v>
      </c>
      <c r="B98" s="35" t="s">
        <v>220</v>
      </c>
      <c r="C98" s="220" t="s">
        <v>280</v>
      </c>
      <c r="D98" s="215" t="s">
        <v>280</v>
      </c>
      <c r="E98" s="74">
        <f>0</f>
        <v>0</v>
      </c>
      <c r="F98" s="54">
        <f>0</f>
        <v>0</v>
      </c>
      <c r="G98" s="54">
        <f>0</f>
        <v>0</v>
      </c>
      <c r="H98" s="55">
        <f>0</f>
        <v>0</v>
      </c>
      <c r="I98" s="56">
        <f>0</f>
        <v>0</v>
      </c>
      <c r="J98" s="57">
        <f>0</f>
        <v>0</v>
      </c>
      <c r="K98" s="57">
        <f>0</f>
        <v>0</v>
      </c>
      <c r="L98" s="57">
        <f>0</f>
        <v>0</v>
      </c>
      <c r="M98" s="57">
        <f>0</f>
        <v>0</v>
      </c>
      <c r="N98" s="57">
        <f>0</f>
        <v>0</v>
      </c>
      <c r="O98" s="57">
        <f>0</f>
        <v>0</v>
      </c>
      <c r="P98" s="57">
        <f>0</f>
        <v>0</v>
      </c>
      <c r="Q98" s="57">
        <f>0</f>
        <v>0</v>
      </c>
      <c r="R98" s="57">
        <f>0</f>
        <v>0</v>
      </c>
      <c r="S98" s="57">
        <f>0</f>
        <v>0</v>
      </c>
    </row>
    <row r="99" spans="1:20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285" t="s">
        <v>14</v>
      </c>
      <c r="S99" s="285"/>
      <c r="T99" s="76"/>
    </row>
    <row r="100" spans="1:20" ht="15">
      <c r="B100" s="81"/>
      <c r="C100" s="81"/>
      <c r="D100" s="77"/>
      <c r="E100" s="82"/>
      <c r="F100" s="82"/>
      <c r="G100" s="82"/>
      <c r="H100" s="82"/>
      <c r="I100" s="77"/>
      <c r="J100" s="77"/>
      <c r="K100" s="77"/>
      <c r="L100" s="77"/>
      <c r="M100" s="77"/>
      <c r="N100" s="77"/>
      <c r="O100" s="77"/>
      <c r="P100" s="77"/>
      <c r="Q100" s="77"/>
      <c r="R100" s="280" t="s">
        <v>15</v>
      </c>
      <c r="S100" s="280"/>
      <c r="T100" s="76"/>
    </row>
    <row r="101" spans="1:20" ht="15">
      <c r="B101" s="83"/>
      <c r="C101" s="83"/>
      <c r="D101" s="77"/>
      <c r="E101" s="84"/>
      <c r="F101" s="84"/>
      <c r="G101" s="84"/>
      <c r="H101" s="84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6"/>
    </row>
    <row r="102" spans="1:20">
      <c r="B102" s="85"/>
      <c r="C102" s="85"/>
      <c r="D102" s="77"/>
      <c r="E102" s="84"/>
      <c r="F102" s="84"/>
      <c r="G102" s="84"/>
      <c r="H102" s="84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6"/>
    </row>
    <row r="103" spans="1:20">
      <c r="B103" s="85"/>
      <c r="C103" s="85"/>
      <c r="D103" s="77"/>
      <c r="E103" s="84"/>
      <c r="F103" s="84"/>
      <c r="G103" s="84"/>
      <c r="H103" s="84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6"/>
    </row>
    <row r="104" spans="1:20" ht="15">
      <c r="B104" s="86" t="s">
        <v>388</v>
      </c>
      <c r="C104" s="86"/>
      <c r="D104" s="86"/>
      <c r="E104" s="87"/>
      <c r="F104" s="87"/>
      <c r="G104" s="87"/>
      <c r="H104" s="84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6"/>
    </row>
    <row r="105" spans="1:20" outlineLevel="1">
      <c r="B105" s="88"/>
      <c r="C105" s="88"/>
      <c r="D105" s="89" t="s">
        <v>389</v>
      </c>
      <c r="E105" s="84"/>
      <c r="F105" s="84"/>
      <c r="G105" s="84"/>
      <c r="H105" s="84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6"/>
    </row>
    <row r="106" spans="1:20" outlineLevel="1">
      <c r="B106" s="88"/>
      <c r="C106" s="88"/>
      <c r="D106" s="90" t="s">
        <v>390</v>
      </c>
      <c r="E106" s="84"/>
      <c r="F106" s="84"/>
      <c r="G106" s="84"/>
      <c r="H106" s="84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6"/>
    </row>
    <row r="107" spans="1:20" outlineLevel="1">
      <c r="B107" s="88"/>
      <c r="C107" s="88"/>
      <c r="D107" s="91" t="s">
        <v>342</v>
      </c>
      <c r="E107" s="84"/>
      <c r="F107" s="84"/>
      <c r="G107" s="84"/>
      <c r="H107" s="84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6"/>
    </row>
    <row r="108" spans="1:20" outlineLevel="1">
      <c r="B108" s="186"/>
      <c r="C108" s="186"/>
      <c r="D108" s="187" t="s">
        <v>414</v>
      </c>
      <c r="E108" s="84"/>
      <c r="F108" s="84"/>
      <c r="G108" s="84"/>
      <c r="H108" s="84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6"/>
    </row>
    <row r="109" spans="1:20" outlineLevel="2">
      <c r="B109" s="208" t="s">
        <v>289</v>
      </c>
      <c r="C109" s="209"/>
      <c r="D109" s="64" t="s">
        <v>337</v>
      </c>
      <c r="E109" s="240" t="s">
        <v>44</v>
      </c>
      <c r="F109" s="241" t="s">
        <v>44</v>
      </c>
      <c r="G109" s="241" t="s">
        <v>44</v>
      </c>
      <c r="H109" s="242" t="s">
        <v>44</v>
      </c>
      <c r="I109" s="193" t="str">
        <f>IF(ROUND(I5+I25+I27,2)&gt;=ROUND(I16-I19,2),"TAK","NIE")</f>
        <v>TAK</v>
      </c>
      <c r="J109" s="191" t="str">
        <f t="shared" ref="J109:S109" si="7">IF(ROUND(J5+J25+J27,2)&gt;=ROUND(J16-J19,2),"TAK","NIE")</f>
        <v>TAK</v>
      </c>
      <c r="K109" s="191" t="str">
        <f t="shared" si="7"/>
        <v>TAK</v>
      </c>
      <c r="L109" s="191" t="str">
        <f t="shared" si="7"/>
        <v>TAK</v>
      </c>
      <c r="M109" s="191" t="str">
        <f t="shared" si="7"/>
        <v>TAK</v>
      </c>
      <c r="N109" s="191" t="str">
        <f t="shared" si="7"/>
        <v>TAK</v>
      </c>
      <c r="O109" s="191" t="str">
        <f t="shared" si="7"/>
        <v>TAK</v>
      </c>
      <c r="P109" s="191" t="str">
        <f t="shared" si="7"/>
        <v>TAK</v>
      </c>
      <c r="Q109" s="191" t="str">
        <f t="shared" si="7"/>
        <v>TAK</v>
      </c>
      <c r="R109" s="191" t="str">
        <f t="shared" si="7"/>
        <v>TAK</v>
      </c>
      <c r="S109" s="191" t="str">
        <f t="shared" si="7"/>
        <v>TAK</v>
      </c>
    </row>
    <row r="110" spans="1:20" outlineLevel="2">
      <c r="B110" s="210"/>
      <c r="C110" s="211"/>
      <c r="D110" s="65" t="s">
        <v>284</v>
      </c>
      <c r="E110" s="243" t="s">
        <v>44</v>
      </c>
      <c r="F110" s="244" t="s">
        <v>44</v>
      </c>
      <c r="G110" s="244" t="s">
        <v>44</v>
      </c>
      <c r="H110" s="245" t="s">
        <v>44</v>
      </c>
      <c r="I110" s="194" t="str">
        <f>IF(I48&lt;=15%,"TAK","NIE")</f>
        <v>TAK</v>
      </c>
      <c r="J110" s="190" t="s">
        <v>44</v>
      </c>
      <c r="K110" s="190" t="s">
        <v>44</v>
      </c>
      <c r="L110" s="190" t="s">
        <v>44</v>
      </c>
      <c r="M110" s="190" t="s">
        <v>44</v>
      </c>
      <c r="N110" s="190" t="s">
        <v>44</v>
      </c>
      <c r="O110" s="190" t="s">
        <v>44</v>
      </c>
      <c r="P110" s="190" t="s">
        <v>44</v>
      </c>
      <c r="Q110" s="190" t="s">
        <v>44</v>
      </c>
      <c r="R110" s="190" t="s">
        <v>44</v>
      </c>
      <c r="S110" s="190" t="s">
        <v>44</v>
      </c>
    </row>
    <row r="111" spans="1:20" outlineLevel="2">
      <c r="B111" s="210"/>
      <c r="C111" s="211"/>
      <c r="D111" s="65" t="s">
        <v>285</v>
      </c>
      <c r="E111" s="243" t="s">
        <v>44</v>
      </c>
      <c r="F111" s="244" t="s">
        <v>44</v>
      </c>
      <c r="G111" s="244" t="s">
        <v>44</v>
      </c>
      <c r="H111" s="245" t="s">
        <v>44</v>
      </c>
      <c r="I111" s="194" t="str">
        <f>IF(I49&lt;=15%,"TAK","NIE")</f>
        <v>TAK</v>
      </c>
      <c r="J111" s="190" t="s">
        <v>44</v>
      </c>
      <c r="K111" s="190" t="s">
        <v>44</v>
      </c>
      <c r="L111" s="190" t="s">
        <v>44</v>
      </c>
      <c r="M111" s="190" t="s">
        <v>44</v>
      </c>
      <c r="N111" s="190" t="s">
        <v>44</v>
      </c>
      <c r="O111" s="190" t="s">
        <v>44</v>
      </c>
      <c r="P111" s="190" t="s">
        <v>44</v>
      </c>
      <c r="Q111" s="190" t="s">
        <v>44</v>
      </c>
      <c r="R111" s="190" t="s">
        <v>44</v>
      </c>
      <c r="S111" s="190" t="s">
        <v>44</v>
      </c>
    </row>
    <row r="112" spans="1:20" outlineLevel="2">
      <c r="B112" s="210"/>
      <c r="C112" s="211"/>
      <c r="D112" s="65" t="s">
        <v>391</v>
      </c>
      <c r="E112" s="243" t="s">
        <v>44</v>
      </c>
      <c r="F112" s="244" t="s">
        <v>44</v>
      </c>
      <c r="G112" s="244" t="s">
        <v>44</v>
      </c>
      <c r="H112" s="245" t="s">
        <v>44</v>
      </c>
      <c r="I112" s="194" t="str">
        <f>IF(I41&lt;=60%,"TAK","NIE")</f>
        <v>TAK</v>
      </c>
      <c r="J112" s="190" t="s">
        <v>44</v>
      </c>
      <c r="K112" s="190" t="s">
        <v>44</v>
      </c>
      <c r="L112" s="190" t="s">
        <v>44</v>
      </c>
      <c r="M112" s="190" t="s">
        <v>44</v>
      </c>
      <c r="N112" s="190" t="s">
        <v>44</v>
      </c>
      <c r="O112" s="190" t="s">
        <v>44</v>
      </c>
      <c r="P112" s="190" t="s">
        <v>44</v>
      </c>
      <c r="Q112" s="190" t="s">
        <v>44</v>
      </c>
      <c r="R112" s="190" t="s">
        <v>44</v>
      </c>
      <c r="S112" s="190" t="s">
        <v>44</v>
      </c>
    </row>
    <row r="113" spans="2:19" outlineLevel="2">
      <c r="B113" s="210"/>
      <c r="C113" s="211"/>
      <c r="D113" s="65" t="s">
        <v>286</v>
      </c>
      <c r="E113" s="243" t="s">
        <v>44</v>
      </c>
      <c r="F113" s="244" t="s">
        <v>44</v>
      </c>
      <c r="G113" s="244" t="s">
        <v>44</v>
      </c>
      <c r="H113" s="245" t="s">
        <v>44</v>
      </c>
      <c r="I113" s="194" t="str">
        <f>IF(I42&lt;=60%,"TAK","NIE")</f>
        <v>TAK</v>
      </c>
      <c r="J113" s="190" t="s">
        <v>44</v>
      </c>
      <c r="K113" s="190" t="s">
        <v>44</v>
      </c>
      <c r="L113" s="190" t="s">
        <v>44</v>
      </c>
      <c r="M113" s="190" t="s">
        <v>44</v>
      </c>
      <c r="N113" s="190" t="s">
        <v>44</v>
      </c>
      <c r="O113" s="190" t="s">
        <v>44</v>
      </c>
      <c r="P113" s="190" t="s">
        <v>44</v>
      </c>
      <c r="Q113" s="190" t="s">
        <v>44</v>
      </c>
      <c r="R113" s="190" t="s">
        <v>44</v>
      </c>
      <c r="S113" s="190" t="s">
        <v>44</v>
      </c>
    </row>
    <row r="114" spans="2:19" ht="24" outlineLevel="2">
      <c r="B114" s="210" t="s">
        <v>287</v>
      </c>
      <c r="C114" s="211"/>
      <c r="D114" s="65" t="s">
        <v>400</v>
      </c>
      <c r="E114" s="243" t="s">
        <v>44</v>
      </c>
      <c r="F114" s="244" t="s">
        <v>44</v>
      </c>
      <c r="G114" s="244" t="s">
        <v>44</v>
      </c>
      <c r="H114" s="245" t="s">
        <v>44</v>
      </c>
      <c r="I114" s="194" t="s">
        <v>44</v>
      </c>
      <c r="J114" s="190" t="s">
        <v>44</v>
      </c>
      <c r="K114" s="190" t="str">
        <f t="shared" ref="K114:S114" si="8">IF(K86=0,"TAK","BŁĄD")</f>
        <v>TAK</v>
      </c>
      <c r="L114" s="190" t="str">
        <f t="shared" si="8"/>
        <v>TAK</v>
      </c>
      <c r="M114" s="190" t="str">
        <f t="shared" si="8"/>
        <v>TAK</v>
      </c>
      <c r="N114" s="190" t="str">
        <f t="shared" si="8"/>
        <v>TAK</v>
      </c>
      <c r="O114" s="190" t="str">
        <f t="shared" si="8"/>
        <v>TAK</v>
      </c>
      <c r="P114" s="190" t="str">
        <f t="shared" si="8"/>
        <v>TAK</v>
      </c>
      <c r="Q114" s="190" t="str">
        <f t="shared" si="8"/>
        <v>TAK</v>
      </c>
      <c r="R114" s="190" t="str">
        <f t="shared" si="8"/>
        <v>TAK</v>
      </c>
      <c r="S114" s="190" t="str">
        <f t="shared" si="8"/>
        <v>TAK</v>
      </c>
    </row>
    <row r="115" spans="2:19" outlineLevel="1">
      <c r="B115" s="210" t="s">
        <v>288</v>
      </c>
      <c r="C115" s="211"/>
      <c r="D115" s="66" t="s">
        <v>338</v>
      </c>
      <c r="E115" s="243" t="s">
        <v>44</v>
      </c>
      <c r="F115" s="244" t="s">
        <v>44</v>
      </c>
      <c r="G115" s="244" t="s">
        <v>44</v>
      </c>
      <c r="H115" s="245" t="s">
        <v>44</v>
      </c>
      <c r="I115" s="198" t="str">
        <f>IF(ROUND(I4+I24-I15-I33,2)=0,"OK",ROUND(I4+I24-I15-I33,2))</f>
        <v>OK</v>
      </c>
      <c r="J115" s="199" t="str">
        <f t="shared" ref="J115:S115" si="9">IF(ROUND(J4+J24-J15-J33,2)=0,"OK",ROUND(J4+J24-J15-J33,2))</f>
        <v>OK</v>
      </c>
      <c r="K115" s="199" t="str">
        <f t="shared" si="9"/>
        <v>OK</v>
      </c>
      <c r="L115" s="199" t="str">
        <f t="shared" si="9"/>
        <v>OK</v>
      </c>
      <c r="M115" s="199" t="str">
        <f t="shared" si="9"/>
        <v>OK</v>
      </c>
      <c r="N115" s="199" t="str">
        <f t="shared" si="9"/>
        <v>OK</v>
      </c>
      <c r="O115" s="199" t="str">
        <f t="shared" si="9"/>
        <v>OK</v>
      </c>
      <c r="P115" s="199" t="str">
        <f t="shared" si="9"/>
        <v>OK</v>
      </c>
      <c r="Q115" s="199" t="str">
        <f t="shared" si="9"/>
        <v>OK</v>
      </c>
      <c r="R115" s="199" t="str">
        <f t="shared" si="9"/>
        <v>OK</v>
      </c>
      <c r="S115" s="199" t="str">
        <f t="shared" si="9"/>
        <v>OK</v>
      </c>
    </row>
    <row r="116" spans="2:19" outlineLevel="2">
      <c r="B116" s="216" t="s">
        <v>432</v>
      </c>
      <c r="C116" s="221"/>
      <c r="D116" s="66" t="s">
        <v>339</v>
      </c>
      <c r="E116" s="243" t="s">
        <v>44</v>
      </c>
      <c r="F116" s="244" t="s">
        <v>44</v>
      </c>
      <c r="G116" s="244" t="s">
        <v>44</v>
      </c>
      <c r="H116" s="245" t="s">
        <v>44</v>
      </c>
      <c r="I116" s="198" t="str">
        <f>+IF(ROUND(H38+I29-I34+(I93-H93)+I98-I38,2)=0,"OK",ROUND(H38+I29-I34+(I93-H93)+I98-I38,2))</f>
        <v>OK</v>
      </c>
      <c r="J116" s="199" t="str">
        <f t="shared" ref="J116:S116" si="10">+IF(ROUND(I38+J29-J34+(J93-I93)+J98-J38,2)=0,"OK",ROUND(I38+J29-J34+(J93-I93)+J98-J38,2))</f>
        <v>OK</v>
      </c>
      <c r="K116" s="199" t="str">
        <f t="shared" si="10"/>
        <v>OK</v>
      </c>
      <c r="L116" s="199" t="str">
        <f t="shared" si="10"/>
        <v>OK</v>
      </c>
      <c r="M116" s="199" t="str">
        <f t="shared" si="10"/>
        <v>OK</v>
      </c>
      <c r="N116" s="199" t="str">
        <f t="shared" si="10"/>
        <v>OK</v>
      </c>
      <c r="O116" s="199" t="str">
        <f t="shared" si="10"/>
        <v>OK</v>
      </c>
      <c r="P116" s="199" t="str">
        <f t="shared" si="10"/>
        <v>OK</v>
      </c>
      <c r="Q116" s="199" t="str">
        <f t="shared" si="10"/>
        <v>OK</v>
      </c>
      <c r="R116" s="199" t="str">
        <f t="shared" si="10"/>
        <v>OK</v>
      </c>
      <c r="S116" s="199" t="str">
        <f t="shared" si="10"/>
        <v>OK</v>
      </c>
    </row>
    <row r="117" spans="2:19" ht="48" outlineLevel="2">
      <c r="B117" s="216" t="s">
        <v>433</v>
      </c>
      <c r="C117" s="221"/>
      <c r="D117" s="66" t="s">
        <v>443</v>
      </c>
      <c r="E117" s="246" t="s">
        <v>44</v>
      </c>
      <c r="F117" s="244" t="s">
        <v>44</v>
      </c>
      <c r="G117" s="244" t="s">
        <v>44</v>
      </c>
      <c r="H117" s="245" t="s">
        <v>44</v>
      </c>
      <c r="I117" s="199" t="str">
        <f>+IF(H93=0,"N/D",IF(ROUND(I93+I94-H93,2)=0,"OK",ROUND(I93+I94-H93,2)))</f>
        <v>N/D</v>
      </c>
      <c r="J117" s="199" t="str">
        <f t="shared" ref="J117:S117" si="11">+IF(I93=0,"N/D",IF(ROUND(J93+J94-I93,2)=0,"OK",ROUND(J93+J94-I93,2)))</f>
        <v>N/D</v>
      </c>
      <c r="K117" s="199" t="str">
        <f t="shared" si="11"/>
        <v>N/D</v>
      </c>
      <c r="L117" s="199" t="str">
        <f t="shared" si="11"/>
        <v>N/D</v>
      </c>
      <c r="M117" s="199" t="str">
        <f t="shared" si="11"/>
        <v>N/D</v>
      </c>
      <c r="N117" s="199" t="str">
        <f t="shared" si="11"/>
        <v>N/D</v>
      </c>
      <c r="O117" s="199" t="str">
        <f t="shared" si="11"/>
        <v>N/D</v>
      </c>
      <c r="P117" s="199" t="str">
        <f t="shared" si="11"/>
        <v>N/D</v>
      </c>
      <c r="Q117" s="199" t="str">
        <f t="shared" si="11"/>
        <v>N/D</v>
      </c>
      <c r="R117" s="199" t="str">
        <f t="shared" si="11"/>
        <v>N/D</v>
      </c>
      <c r="S117" s="199" t="str">
        <f t="shared" si="11"/>
        <v>N/D</v>
      </c>
    </row>
    <row r="118" spans="2:19" ht="36" outlineLevel="2">
      <c r="B118" s="216" t="s">
        <v>435</v>
      </c>
      <c r="C118" s="221"/>
      <c r="D118" s="66" t="s">
        <v>434</v>
      </c>
      <c r="E118" s="243" t="s">
        <v>44</v>
      </c>
      <c r="F118" s="244" t="s">
        <v>44</v>
      </c>
      <c r="G118" s="244" t="s">
        <v>44</v>
      </c>
      <c r="H118" s="245" t="s">
        <v>44</v>
      </c>
      <c r="I118" s="198" t="str">
        <f>+IF(H84=0,"N/D",IF(ROUND(I84+(I86+I87+I88+I89)-H84,2)=0,"OK",ROUND(I84+(I86+I87+I88+I89)-H84,2)))</f>
        <v>N/D</v>
      </c>
      <c r="J118" s="199" t="str">
        <f t="shared" ref="J118:S118" si="12">+IF(I84=0,"N/D",IF(ROUND(J84+(J86+J87+J88+J89)-I84,2)=0,"OK",ROUND(J84+(J86+J87+J88+J89)-I84,2)))</f>
        <v>N/D</v>
      </c>
      <c r="K118" s="199" t="str">
        <f t="shared" si="12"/>
        <v>N/D</v>
      </c>
      <c r="L118" s="199" t="str">
        <f t="shared" si="12"/>
        <v>N/D</v>
      </c>
      <c r="M118" s="199" t="str">
        <f t="shared" si="12"/>
        <v>N/D</v>
      </c>
      <c r="N118" s="199" t="str">
        <f t="shared" si="12"/>
        <v>N/D</v>
      </c>
      <c r="O118" s="199" t="str">
        <f t="shared" si="12"/>
        <v>N/D</v>
      </c>
      <c r="P118" s="199" t="str">
        <f t="shared" si="12"/>
        <v>N/D</v>
      </c>
      <c r="Q118" s="199" t="str">
        <f t="shared" si="12"/>
        <v>N/D</v>
      </c>
      <c r="R118" s="199" t="str">
        <f t="shared" si="12"/>
        <v>N/D</v>
      </c>
      <c r="S118" s="199" t="str">
        <f t="shared" si="12"/>
        <v>N/D</v>
      </c>
    </row>
    <row r="119" spans="2:19" outlineLevel="1">
      <c r="B119" s="210" t="s">
        <v>290</v>
      </c>
      <c r="C119" s="211"/>
      <c r="D119" s="67" t="s">
        <v>340</v>
      </c>
      <c r="E119" s="243" t="s">
        <v>44</v>
      </c>
      <c r="F119" s="244" t="s">
        <v>44</v>
      </c>
      <c r="G119" s="244" t="s">
        <v>44</v>
      </c>
      <c r="H119" s="245" t="s">
        <v>44</v>
      </c>
      <c r="I119" s="196" t="str">
        <f>IF(I23&lt;0,IF(ROUND(I26+I28+I30+I32+I23,2)=0,"OK",ROUND(I26+I28+I30+I32+I23,2)),"N/D")</f>
        <v>OK</v>
      </c>
      <c r="J119" s="197" t="str">
        <f t="shared" ref="J119:S119" si="13">IF(J23&lt;0,IF(ROUND(J26+J28+J30+J32+J23,2)=0,"OK",ROUND(J26+J28+J30+J32+J23,2)),"N/D")</f>
        <v>N/D</v>
      </c>
      <c r="K119" s="197" t="str">
        <f t="shared" si="13"/>
        <v>N/D</v>
      </c>
      <c r="L119" s="197" t="str">
        <f t="shared" si="13"/>
        <v>N/D</v>
      </c>
      <c r="M119" s="197" t="str">
        <f t="shared" si="13"/>
        <v>N/D</v>
      </c>
      <c r="N119" s="197" t="str">
        <f t="shared" si="13"/>
        <v>N/D</v>
      </c>
      <c r="O119" s="197" t="str">
        <f t="shared" si="13"/>
        <v>N/D</v>
      </c>
      <c r="P119" s="197" t="str">
        <f t="shared" si="13"/>
        <v>N/D</v>
      </c>
      <c r="Q119" s="197" t="str">
        <f t="shared" si="13"/>
        <v>N/D</v>
      </c>
      <c r="R119" s="197" t="str">
        <f t="shared" si="13"/>
        <v>N/D</v>
      </c>
      <c r="S119" s="197" t="str">
        <f t="shared" si="13"/>
        <v>N/D</v>
      </c>
    </row>
    <row r="120" spans="2:19" outlineLevel="2">
      <c r="B120" s="210" t="s">
        <v>291</v>
      </c>
      <c r="C120" s="211"/>
      <c r="D120" s="67" t="s">
        <v>341</v>
      </c>
      <c r="E120" s="243" t="s">
        <v>44</v>
      </c>
      <c r="F120" s="244" t="s">
        <v>44</v>
      </c>
      <c r="G120" s="244" t="s">
        <v>44</v>
      </c>
      <c r="H120" s="245" t="s">
        <v>44</v>
      </c>
      <c r="I120" s="196" t="str">
        <f>IF(I23&gt;=0,IF(ROUND(I26+I28+I30+I32,2)=0,"OK",ROUND(I26+I28+I30+I32,2)),"N/D")</f>
        <v>N/D</v>
      </c>
      <c r="J120" s="197" t="str">
        <f t="shared" ref="J120:S120" si="14">IF(J23&gt;=0,IF(ROUND(J26+J28+J30+J32,2)=0,"OK",ROUND(J26+J28+J30+J32,2)),"N/D")</f>
        <v>OK</v>
      </c>
      <c r="K120" s="197" t="str">
        <f t="shared" si="14"/>
        <v>OK</v>
      </c>
      <c r="L120" s="197" t="str">
        <f t="shared" si="14"/>
        <v>OK</v>
      </c>
      <c r="M120" s="197" t="str">
        <f t="shared" si="14"/>
        <v>OK</v>
      </c>
      <c r="N120" s="197" t="str">
        <f t="shared" si="14"/>
        <v>OK</v>
      </c>
      <c r="O120" s="197" t="str">
        <f t="shared" si="14"/>
        <v>OK</v>
      </c>
      <c r="P120" s="197" t="str">
        <f t="shared" si="14"/>
        <v>OK</v>
      </c>
      <c r="Q120" s="197" t="str">
        <f t="shared" si="14"/>
        <v>OK</v>
      </c>
      <c r="R120" s="197" t="str">
        <f t="shared" si="14"/>
        <v>OK</v>
      </c>
      <c r="S120" s="197" t="str">
        <f t="shared" si="14"/>
        <v>OK</v>
      </c>
    </row>
    <row r="121" spans="2:19" outlineLevel="2">
      <c r="B121" s="210" t="s">
        <v>292</v>
      </c>
      <c r="C121" s="211"/>
      <c r="D121" s="67" t="s">
        <v>343</v>
      </c>
      <c r="E121" s="243" t="s">
        <v>44</v>
      </c>
      <c r="F121" s="244" t="s">
        <v>44</v>
      </c>
      <c r="G121" s="244" t="s">
        <v>44</v>
      </c>
      <c r="H121" s="245" t="s">
        <v>44</v>
      </c>
      <c r="I121" s="194" t="str">
        <f t="shared" ref="I121:S121" si="15">IF(I8&gt;=I9,"OK","BŁĄD")</f>
        <v>OK</v>
      </c>
      <c r="J121" s="190" t="str">
        <f t="shared" si="15"/>
        <v>OK</v>
      </c>
      <c r="K121" s="190" t="str">
        <f t="shared" si="15"/>
        <v>OK</v>
      </c>
      <c r="L121" s="190" t="str">
        <f t="shared" si="15"/>
        <v>OK</v>
      </c>
      <c r="M121" s="190" t="str">
        <f t="shared" si="15"/>
        <v>OK</v>
      </c>
      <c r="N121" s="190" t="str">
        <f t="shared" si="15"/>
        <v>OK</v>
      </c>
      <c r="O121" s="190" t="str">
        <f t="shared" si="15"/>
        <v>OK</v>
      </c>
      <c r="P121" s="190" t="str">
        <f t="shared" si="15"/>
        <v>OK</v>
      </c>
      <c r="Q121" s="190" t="str">
        <f t="shared" si="15"/>
        <v>OK</v>
      </c>
      <c r="R121" s="190" t="str">
        <f t="shared" si="15"/>
        <v>OK</v>
      </c>
      <c r="S121" s="190" t="str">
        <f t="shared" si="15"/>
        <v>OK</v>
      </c>
    </row>
    <row r="122" spans="2:19" outlineLevel="2">
      <c r="B122" s="210" t="s">
        <v>293</v>
      </c>
      <c r="C122" s="211"/>
      <c r="D122" s="67" t="s">
        <v>344</v>
      </c>
      <c r="E122" s="243" t="s">
        <v>44</v>
      </c>
      <c r="F122" s="244" t="s">
        <v>44</v>
      </c>
      <c r="G122" s="244" t="s">
        <v>44</v>
      </c>
      <c r="H122" s="245" t="s">
        <v>44</v>
      </c>
      <c r="I122" s="194" t="str">
        <f t="shared" ref="I122:S122" si="16">IF(I11&gt;=I85,"OK","BŁĄD")</f>
        <v>OK</v>
      </c>
      <c r="J122" s="190" t="str">
        <f t="shared" si="16"/>
        <v>OK</v>
      </c>
      <c r="K122" s="190" t="str">
        <f t="shared" si="16"/>
        <v>OK</v>
      </c>
      <c r="L122" s="190" t="str">
        <f t="shared" si="16"/>
        <v>OK</v>
      </c>
      <c r="M122" s="190" t="str">
        <f t="shared" si="16"/>
        <v>OK</v>
      </c>
      <c r="N122" s="190" t="str">
        <f t="shared" si="16"/>
        <v>OK</v>
      </c>
      <c r="O122" s="190" t="str">
        <f t="shared" si="16"/>
        <v>OK</v>
      </c>
      <c r="P122" s="190" t="str">
        <f t="shared" si="16"/>
        <v>OK</v>
      </c>
      <c r="Q122" s="190" t="str">
        <f t="shared" si="16"/>
        <v>OK</v>
      </c>
      <c r="R122" s="190" t="str">
        <f t="shared" si="16"/>
        <v>OK</v>
      </c>
      <c r="S122" s="190" t="str">
        <f t="shared" si="16"/>
        <v>OK</v>
      </c>
    </row>
    <row r="123" spans="2:19" outlineLevel="2">
      <c r="B123" s="210" t="s">
        <v>294</v>
      </c>
      <c r="C123" s="211"/>
      <c r="D123" s="67" t="s">
        <v>345</v>
      </c>
      <c r="E123" s="243" t="s">
        <v>44</v>
      </c>
      <c r="F123" s="244" t="s">
        <v>44</v>
      </c>
      <c r="G123" s="244" t="s">
        <v>44</v>
      </c>
      <c r="H123" s="245" t="s">
        <v>44</v>
      </c>
      <c r="I123" s="194" t="str">
        <f t="shared" ref="I123:S123" si="17">IF(I5&gt;=I6+I7+I8+I10+I11,"OK","BŁĄD")</f>
        <v>OK</v>
      </c>
      <c r="J123" s="190" t="str">
        <f t="shared" si="17"/>
        <v>OK</v>
      </c>
      <c r="K123" s="190" t="str">
        <f t="shared" si="17"/>
        <v>OK</v>
      </c>
      <c r="L123" s="190" t="str">
        <f t="shared" si="17"/>
        <v>OK</v>
      </c>
      <c r="M123" s="190" t="str">
        <f t="shared" si="17"/>
        <v>OK</v>
      </c>
      <c r="N123" s="190" t="str">
        <f t="shared" si="17"/>
        <v>OK</v>
      </c>
      <c r="O123" s="190" t="str">
        <f t="shared" si="17"/>
        <v>OK</v>
      </c>
      <c r="P123" s="190" t="str">
        <f t="shared" si="17"/>
        <v>OK</v>
      </c>
      <c r="Q123" s="190" t="str">
        <f t="shared" si="17"/>
        <v>OK</v>
      </c>
      <c r="R123" s="190" t="str">
        <f t="shared" si="17"/>
        <v>OK</v>
      </c>
      <c r="S123" s="190" t="str">
        <f t="shared" si="17"/>
        <v>OK</v>
      </c>
    </row>
    <row r="124" spans="2:19" outlineLevel="2">
      <c r="B124" s="210" t="s">
        <v>295</v>
      </c>
      <c r="C124" s="211"/>
      <c r="D124" s="67" t="s">
        <v>346</v>
      </c>
      <c r="E124" s="243" t="s">
        <v>44</v>
      </c>
      <c r="F124" s="244" t="s">
        <v>44</v>
      </c>
      <c r="G124" s="244" t="s">
        <v>44</v>
      </c>
      <c r="H124" s="245" t="s">
        <v>44</v>
      </c>
      <c r="I124" s="194" t="str">
        <f t="shared" ref="I124:S124" si="18">IF(I5&gt;=I71,"OK","BŁĄD")</f>
        <v>OK</v>
      </c>
      <c r="J124" s="190" t="str">
        <f t="shared" si="18"/>
        <v>OK</v>
      </c>
      <c r="K124" s="190" t="str">
        <f t="shared" si="18"/>
        <v>OK</v>
      </c>
      <c r="L124" s="190" t="str">
        <f t="shared" si="18"/>
        <v>OK</v>
      </c>
      <c r="M124" s="190" t="str">
        <f t="shared" si="18"/>
        <v>OK</v>
      </c>
      <c r="N124" s="190" t="str">
        <f t="shared" si="18"/>
        <v>OK</v>
      </c>
      <c r="O124" s="190" t="str">
        <f t="shared" si="18"/>
        <v>OK</v>
      </c>
      <c r="P124" s="190" t="str">
        <f t="shared" si="18"/>
        <v>OK</v>
      </c>
      <c r="Q124" s="190" t="str">
        <f t="shared" si="18"/>
        <v>OK</v>
      </c>
      <c r="R124" s="190" t="str">
        <f t="shared" si="18"/>
        <v>OK</v>
      </c>
      <c r="S124" s="190" t="str">
        <f t="shared" si="18"/>
        <v>OK</v>
      </c>
    </row>
    <row r="125" spans="2:19" outlineLevel="2">
      <c r="B125" s="210" t="s">
        <v>296</v>
      </c>
      <c r="C125" s="211"/>
      <c r="D125" s="67" t="s">
        <v>347</v>
      </c>
      <c r="E125" s="243" t="s">
        <v>44</v>
      </c>
      <c r="F125" s="244" t="s">
        <v>44</v>
      </c>
      <c r="G125" s="244" t="s">
        <v>44</v>
      </c>
      <c r="H125" s="245" t="s">
        <v>44</v>
      </c>
      <c r="I125" s="194" t="str">
        <f t="shared" ref="I125:S125" si="19">IF(I12&gt;=I13,"OK","BŁĄD")</f>
        <v>OK</v>
      </c>
      <c r="J125" s="190" t="str">
        <f t="shared" si="19"/>
        <v>OK</v>
      </c>
      <c r="K125" s="190" t="str">
        <f t="shared" si="19"/>
        <v>OK</v>
      </c>
      <c r="L125" s="190" t="str">
        <f t="shared" si="19"/>
        <v>OK</v>
      </c>
      <c r="M125" s="190" t="str">
        <f t="shared" si="19"/>
        <v>OK</v>
      </c>
      <c r="N125" s="190" t="str">
        <f t="shared" si="19"/>
        <v>OK</v>
      </c>
      <c r="O125" s="190" t="str">
        <f t="shared" si="19"/>
        <v>OK</v>
      </c>
      <c r="P125" s="190" t="str">
        <f t="shared" si="19"/>
        <v>OK</v>
      </c>
      <c r="Q125" s="190" t="str">
        <f t="shared" si="19"/>
        <v>OK</v>
      </c>
      <c r="R125" s="190" t="str">
        <f t="shared" si="19"/>
        <v>OK</v>
      </c>
      <c r="S125" s="190" t="str">
        <f t="shared" si="19"/>
        <v>OK</v>
      </c>
    </row>
    <row r="126" spans="2:19" outlineLevel="2">
      <c r="B126" s="210" t="s">
        <v>297</v>
      </c>
      <c r="C126" s="211"/>
      <c r="D126" s="67" t="s">
        <v>348</v>
      </c>
      <c r="E126" s="243" t="s">
        <v>44</v>
      </c>
      <c r="F126" s="244" t="s">
        <v>44</v>
      </c>
      <c r="G126" s="244" t="s">
        <v>44</v>
      </c>
      <c r="H126" s="245" t="s">
        <v>44</v>
      </c>
      <c r="I126" s="194" t="str">
        <f t="shared" ref="I126:S126" si="20">IF(I12&gt;=I14,"OK","BŁĄD")</f>
        <v>OK</v>
      </c>
      <c r="J126" s="190" t="str">
        <f t="shared" si="20"/>
        <v>OK</v>
      </c>
      <c r="K126" s="190" t="str">
        <f t="shared" si="20"/>
        <v>OK</v>
      </c>
      <c r="L126" s="190" t="str">
        <f t="shared" si="20"/>
        <v>OK</v>
      </c>
      <c r="M126" s="190" t="str">
        <f t="shared" si="20"/>
        <v>OK</v>
      </c>
      <c r="N126" s="190" t="str">
        <f t="shared" si="20"/>
        <v>OK</v>
      </c>
      <c r="O126" s="190" t="str">
        <f t="shared" si="20"/>
        <v>OK</v>
      </c>
      <c r="P126" s="190" t="str">
        <f t="shared" si="20"/>
        <v>OK</v>
      </c>
      <c r="Q126" s="190" t="str">
        <f t="shared" si="20"/>
        <v>OK</v>
      </c>
      <c r="R126" s="190" t="str">
        <f t="shared" si="20"/>
        <v>OK</v>
      </c>
      <c r="S126" s="190" t="str">
        <f t="shared" si="20"/>
        <v>OK</v>
      </c>
    </row>
    <row r="127" spans="2:19" outlineLevel="2">
      <c r="B127" s="210" t="s">
        <v>298</v>
      </c>
      <c r="C127" s="211"/>
      <c r="D127" s="67" t="s">
        <v>349</v>
      </c>
      <c r="E127" s="243" t="s">
        <v>44</v>
      </c>
      <c r="F127" s="244" t="s">
        <v>44</v>
      </c>
      <c r="G127" s="244" t="s">
        <v>44</v>
      </c>
      <c r="H127" s="245" t="s">
        <v>44</v>
      </c>
      <c r="I127" s="194" t="str">
        <f t="shared" ref="I127:S127" si="21">IF(I12&gt;=I74,"OK","BŁĄD")</f>
        <v>OK</v>
      </c>
      <c r="J127" s="190" t="str">
        <f t="shared" si="21"/>
        <v>OK</v>
      </c>
      <c r="K127" s="190" t="str">
        <f t="shared" si="21"/>
        <v>OK</v>
      </c>
      <c r="L127" s="190" t="str">
        <f t="shared" si="21"/>
        <v>OK</v>
      </c>
      <c r="M127" s="190" t="str">
        <f t="shared" si="21"/>
        <v>OK</v>
      </c>
      <c r="N127" s="190" t="str">
        <f t="shared" si="21"/>
        <v>OK</v>
      </c>
      <c r="O127" s="190" t="str">
        <f t="shared" si="21"/>
        <v>OK</v>
      </c>
      <c r="P127" s="190" t="str">
        <f t="shared" si="21"/>
        <v>OK</v>
      </c>
      <c r="Q127" s="190" t="str">
        <f t="shared" si="21"/>
        <v>OK</v>
      </c>
      <c r="R127" s="190" t="str">
        <f t="shared" si="21"/>
        <v>OK</v>
      </c>
      <c r="S127" s="190" t="str">
        <f t="shared" si="21"/>
        <v>OK</v>
      </c>
    </row>
    <row r="128" spans="2:19" outlineLevel="2">
      <c r="B128" s="210"/>
      <c r="C128" s="211"/>
      <c r="D128" s="67" t="s">
        <v>464</v>
      </c>
      <c r="E128" s="243" t="s">
        <v>44</v>
      </c>
      <c r="F128" s="244" t="s">
        <v>44</v>
      </c>
      <c r="G128" s="244" t="s">
        <v>44</v>
      </c>
      <c r="H128" s="245" t="s">
        <v>44</v>
      </c>
      <c r="I128" s="194" t="str">
        <f>+IF(I23&gt;0,IF(I23=I59,"OK","Błąd"),"N/D")</f>
        <v>N/D</v>
      </c>
      <c r="J128" s="194" t="str">
        <f t="shared" ref="J128:S128" si="22">+IF(J23&gt;0,IF(J23=J59,"OK","Błąd"),"N/D")</f>
        <v>OK</v>
      </c>
      <c r="K128" s="194" t="str">
        <f t="shared" si="22"/>
        <v>OK</v>
      </c>
      <c r="L128" s="194" t="str">
        <f t="shared" si="22"/>
        <v>OK</v>
      </c>
      <c r="M128" s="194" t="str">
        <f t="shared" si="22"/>
        <v>OK</v>
      </c>
      <c r="N128" s="194" t="str">
        <f t="shared" si="22"/>
        <v>OK</v>
      </c>
      <c r="O128" s="194" t="str">
        <f t="shared" si="22"/>
        <v>OK</v>
      </c>
      <c r="P128" s="194" t="str">
        <f t="shared" si="22"/>
        <v>OK</v>
      </c>
      <c r="Q128" s="194" t="str">
        <f t="shared" si="22"/>
        <v>OK</v>
      </c>
      <c r="R128" s="194" t="str">
        <f t="shared" si="22"/>
        <v>OK</v>
      </c>
      <c r="S128" s="194" t="str">
        <f t="shared" si="22"/>
        <v>OK</v>
      </c>
    </row>
    <row r="129" spans="2:19" outlineLevel="2">
      <c r="B129" s="210" t="s">
        <v>299</v>
      </c>
      <c r="C129" s="211"/>
      <c r="D129" s="67" t="s">
        <v>350</v>
      </c>
      <c r="E129" s="243" t="s">
        <v>44</v>
      </c>
      <c r="F129" s="244" t="s">
        <v>44</v>
      </c>
      <c r="G129" s="244" t="s">
        <v>44</v>
      </c>
      <c r="H129" s="245" t="s">
        <v>44</v>
      </c>
      <c r="I129" s="194" t="str">
        <f t="shared" ref="I129:S129" si="23">IF(I59&gt;=I60,"OK","BŁĄD")</f>
        <v>OK</v>
      </c>
      <c r="J129" s="190" t="str">
        <f t="shared" si="23"/>
        <v>OK</v>
      </c>
      <c r="K129" s="190" t="str">
        <f t="shared" si="23"/>
        <v>OK</v>
      </c>
      <c r="L129" s="190" t="str">
        <f t="shared" si="23"/>
        <v>OK</v>
      </c>
      <c r="M129" s="190" t="str">
        <f t="shared" si="23"/>
        <v>OK</v>
      </c>
      <c r="N129" s="190" t="str">
        <f t="shared" si="23"/>
        <v>OK</v>
      </c>
      <c r="O129" s="190" t="str">
        <f t="shared" si="23"/>
        <v>OK</v>
      </c>
      <c r="P129" s="190" t="str">
        <f t="shared" si="23"/>
        <v>OK</v>
      </c>
      <c r="Q129" s="190" t="str">
        <f t="shared" si="23"/>
        <v>OK</v>
      </c>
      <c r="R129" s="190" t="str">
        <f t="shared" si="23"/>
        <v>OK</v>
      </c>
      <c r="S129" s="190" t="str">
        <f t="shared" si="23"/>
        <v>OK</v>
      </c>
    </row>
    <row r="130" spans="2:19" outlineLevel="2">
      <c r="B130" s="210"/>
      <c r="C130" s="211"/>
      <c r="D130" s="67" t="s">
        <v>446</v>
      </c>
      <c r="E130" s="243" t="s">
        <v>44</v>
      </c>
      <c r="F130" s="244" t="s">
        <v>44</v>
      </c>
      <c r="G130" s="244" t="s">
        <v>44</v>
      </c>
      <c r="H130" s="245" t="s">
        <v>44</v>
      </c>
      <c r="I130" s="194" t="str">
        <f>IF(I59&gt;0,IF(I60&gt;0,"OK","BŁĄD"),"N/D")</f>
        <v>N/D</v>
      </c>
      <c r="J130" s="190" t="str">
        <f t="shared" ref="J130:S130" si="24">IF(J59&gt;0,IF(J60&gt;0,"OK","BŁĄD"),"N/D")</f>
        <v>OK</v>
      </c>
      <c r="K130" s="190" t="str">
        <f t="shared" si="24"/>
        <v>OK</v>
      </c>
      <c r="L130" s="190" t="str">
        <f t="shared" si="24"/>
        <v>OK</v>
      </c>
      <c r="M130" s="190" t="str">
        <f t="shared" si="24"/>
        <v>OK</v>
      </c>
      <c r="N130" s="190" t="str">
        <f t="shared" si="24"/>
        <v>OK</v>
      </c>
      <c r="O130" s="190" t="str">
        <f t="shared" si="24"/>
        <v>OK</v>
      </c>
      <c r="P130" s="190" t="str">
        <f t="shared" si="24"/>
        <v>OK</v>
      </c>
      <c r="Q130" s="190" t="str">
        <f t="shared" si="24"/>
        <v>OK</v>
      </c>
      <c r="R130" s="190" t="str">
        <f t="shared" si="24"/>
        <v>OK</v>
      </c>
      <c r="S130" s="190" t="str">
        <f t="shared" si="24"/>
        <v>OK</v>
      </c>
    </row>
    <row r="131" spans="2:19" outlineLevel="2">
      <c r="B131" s="210" t="s">
        <v>301</v>
      </c>
      <c r="C131" s="211"/>
      <c r="D131" s="67" t="s">
        <v>352</v>
      </c>
      <c r="E131" s="243" t="s">
        <v>44</v>
      </c>
      <c r="F131" s="244" t="s">
        <v>44</v>
      </c>
      <c r="G131" s="244" t="s">
        <v>44</v>
      </c>
      <c r="H131" s="245" t="s">
        <v>44</v>
      </c>
      <c r="I131" s="194" t="str">
        <f t="shared" ref="I131:S131" si="25">IF(I71&gt;=I72,"OK","BŁĄD")</f>
        <v>OK</v>
      </c>
      <c r="J131" s="190" t="str">
        <f t="shared" si="25"/>
        <v>OK</v>
      </c>
      <c r="K131" s="190" t="str">
        <f t="shared" si="25"/>
        <v>OK</v>
      </c>
      <c r="L131" s="190" t="str">
        <f t="shared" si="25"/>
        <v>OK</v>
      </c>
      <c r="M131" s="190" t="str">
        <f t="shared" si="25"/>
        <v>OK</v>
      </c>
      <c r="N131" s="190" t="str">
        <f t="shared" si="25"/>
        <v>OK</v>
      </c>
      <c r="O131" s="190" t="str">
        <f t="shared" si="25"/>
        <v>OK</v>
      </c>
      <c r="P131" s="190" t="str">
        <f t="shared" si="25"/>
        <v>OK</v>
      </c>
      <c r="Q131" s="190" t="str">
        <f t="shared" si="25"/>
        <v>OK</v>
      </c>
      <c r="R131" s="190" t="str">
        <f t="shared" si="25"/>
        <v>OK</v>
      </c>
      <c r="S131" s="190" t="str">
        <f t="shared" si="25"/>
        <v>OK</v>
      </c>
    </row>
    <row r="132" spans="2:19" outlineLevel="2">
      <c r="B132" s="210" t="s">
        <v>300</v>
      </c>
      <c r="C132" s="211"/>
      <c r="D132" s="67" t="s">
        <v>351</v>
      </c>
      <c r="E132" s="243" t="s">
        <v>44</v>
      </c>
      <c r="F132" s="244" t="s">
        <v>44</v>
      </c>
      <c r="G132" s="244" t="s">
        <v>44</v>
      </c>
      <c r="H132" s="245" t="s">
        <v>44</v>
      </c>
      <c r="I132" s="194" t="str">
        <f t="shared" ref="I132:S132" si="26">IF(I72&gt;=I73,"OK","BŁĄD")</f>
        <v>OK</v>
      </c>
      <c r="J132" s="190" t="str">
        <f t="shared" si="26"/>
        <v>OK</v>
      </c>
      <c r="K132" s="190" t="str">
        <f t="shared" si="26"/>
        <v>OK</v>
      </c>
      <c r="L132" s="190" t="str">
        <f t="shared" si="26"/>
        <v>OK</v>
      </c>
      <c r="M132" s="190" t="str">
        <f t="shared" si="26"/>
        <v>OK</v>
      </c>
      <c r="N132" s="190" t="str">
        <f t="shared" si="26"/>
        <v>OK</v>
      </c>
      <c r="O132" s="190" t="str">
        <f t="shared" si="26"/>
        <v>OK</v>
      </c>
      <c r="P132" s="190" t="str">
        <f t="shared" si="26"/>
        <v>OK</v>
      </c>
      <c r="Q132" s="190" t="str">
        <f t="shared" si="26"/>
        <v>OK</v>
      </c>
      <c r="R132" s="190" t="str">
        <f t="shared" si="26"/>
        <v>OK</v>
      </c>
      <c r="S132" s="190" t="str">
        <f t="shared" si="26"/>
        <v>OK</v>
      </c>
    </row>
    <row r="133" spans="2:19" outlineLevel="2">
      <c r="B133" s="210" t="s">
        <v>303</v>
      </c>
      <c r="C133" s="211"/>
      <c r="D133" s="67" t="s">
        <v>354</v>
      </c>
      <c r="E133" s="243" t="s">
        <v>44</v>
      </c>
      <c r="F133" s="244" t="s">
        <v>44</v>
      </c>
      <c r="G133" s="244" t="s">
        <v>44</v>
      </c>
      <c r="H133" s="245" t="s">
        <v>44</v>
      </c>
      <c r="I133" s="194" t="str">
        <f t="shared" ref="I133:S133" si="27">IF(I74&gt;=I75,"OK","BŁĄD")</f>
        <v>OK</v>
      </c>
      <c r="J133" s="190" t="str">
        <f t="shared" si="27"/>
        <v>OK</v>
      </c>
      <c r="K133" s="190" t="str">
        <f t="shared" si="27"/>
        <v>OK</v>
      </c>
      <c r="L133" s="190" t="str">
        <f t="shared" si="27"/>
        <v>OK</v>
      </c>
      <c r="M133" s="190" t="str">
        <f t="shared" si="27"/>
        <v>OK</v>
      </c>
      <c r="N133" s="190" t="str">
        <f t="shared" si="27"/>
        <v>OK</v>
      </c>
      <c r="O133" s="190" t="str">
        <f t="shared" si="27"/>
        <v>OK</v>
      </c>
      <c r="P133" s="190" t="str">
        <f t="shared" si="27"/>
        <v>OK</v>
      </c>
      <c r="Q133" s="190" t="str">
        <f t="shared" si="27"/>
        <v>OK</v>
      </c>
      <c r="R133" s="190" t="str">
        <f t="shared" si="27"/>
        <v>OK</v>
      </c>
      <c r="S133" s="190" t="str">
        <f t="shared" si="27"/>
        <v>OK</v>
      </c>
    </row>
    <row r="134" spans="2:19" outlineLevel="2">
      <c r="B134" s="210" t="s">
        <v>302</v>
      </c>
      <c r="C134" s="211"/>
      <c r="D134" s="67" t="s">
        <v>353</v>
      </c>
      <c r="E134" s="243" t="s">
        <v>44</v>
      </c>
      <c r="F134" s="244" t="s">
        <v>44</v>
      </c>
      <c r="G134" s="244" t="s">
        <v>44</v>
      </c>
      <c r="H134" s="245" t="s">
        <v>44</v>
      </c>
      <c r="I134" s="194" t="str">
        <f t="shared" ref="I134:S134" si="28">IF(I75&gt;=I76,"OK","BŁĄD")</f>
        <v>OK</v>
      </c>
      <c r="J134" s="190" t="str">
        <f t="shared" si="28"/>
        <v>OK</v>
      </c>
      <c r="K134" s="190" t="str">
        <f t="shared" si="28"/>
        <v>OK</v>
      </c>
      <c r="L134" s="190" t="str">
        <f t="shared" si="28"/>
        <v>OK</v>
      </c>
      <c r="M134" s="190" t="str">
        <f t="shared" si="28"/>
        <v>OK</v>
      </c>
      <c r="N134" s="190" t="str">
        <f t="shared" si="28"/>
        <v>OK</v>
      </c>
      <c r="O134" s="190" t="str">
        <f t="shared" si="28"/>
        <v>OK</v>
      </c>
      <c r="P134" s="190" t="str">
        <f t="shared" si="28"/>
        <v>OK</v>
      </c>
      <c r="Q134" s="190" t="str">
        <f t="shared" si="28"/>
        <v>OK</v>
      </c>
      <c r="R134" s="190" t="str">
        <f t="shared" si="28"/>
        <v>OK</v>
      </c>
      <c r="S134" s="190" t="str">
        <f t="shared" si="28"/>
        <v>OK</v>
      </c>
    </row>
    <row r="135" spans="2:19" outlineLevel="2">
      <c r="B135" s="210" t="s">
        <v>304</v>
      </c>
      <c r="C135" s="211"/>
      <c r="D135" s="67" t="s">
        <v>355</v>
      </c>
      <c r="E135" s="243" t="s">
        <v>44</v>
      </c>
      <c r="F135" s="244" t="s">
        <v>44</v>
      </c>
      <c r="G135" s="244" t="s">
        <v>44</v>
      </c>
      <c r="H135" s="245" t="s">
        <v>44</v>
      </c>
      <c r="I135" s="194" t="str">
        <f t="shared" ref="I135:S135" si="29">IF(I77&gt;=I78,"OK","BŁĄD")</f>
        <v>OK</v>
      </c>
      <c r="J135" s="190" t="str">
        <f t="shared" si="29"/>
        <v>OK</v>
      </c>
      <c r="K135" s="190" t="str">
        <f t="shared" si="29"/>
        <v>OK</v>
      </c>
      <c r="L135" s="190" t="str">
        <f t="shared" si="29"/>
        <v>OK</v>
      </c>
      <c r="M135" s="190" t="str">
        <f t="shared" si="29"/>
        <v>OK</v>
      </c>
      <c r="N135" s="190" t="str">
        <f t="shared" si="29"/>
        <v>OK</v>
      </c>
      <c r="O135" s="190" t="str">
        <f t="shared" si="29"/>
        <v>OK</v>
      </c>
      <c r="P135" s="190" t="str">
        <f t="shared" si="29"/>
        <v>OK</v>
      </c>
      <c r="Q135" s="190" t="str">
        <f t="shared" si="29"/>
        <v>OK</v>
      </c>
      <c r="R135" s="190" t="str">
        <f t="shared" si="29"/>
        <v>OK</v>
      </c>
      <c r="S135" s="190" t="str">
        <f t="shared" si="29"/>
        <v>OK</v>
      </c>
    </row>
    <row r="136" spans="2:19" outlineLevel="2">
      <c r="B136" s="210" t="s">
        <v>305</v>
      </c>
      <c r="C136" s="211"/>
      <c r="D136" s="67" t="s">
        <v>356</v>
      </c>
      <c r="E136" s="243" t="s">
        <v>44</v>
      </c>
      <c r="F136" s="244" t="s">
        <v>44</v>
      </c>
      <c r="G136" s="244" t="s">
        <v>44</v>
      </c>
      <c r="H136" s="245" t="s">
        <v>44</v>
      </c>
      <c r="I136" s="194" t="str">
        <f t="shared" ref="I136:S136" si="30">IF(I77&gt;=I79,"OK","BŁĄD")</f>
        <v>OK</v>
      </c>
      <c r="J136" s="190" t="str">
        <f t="shared" si="30"/>
        <v>OK</v>
      </c>
      <c r="K136" s="190" t="str">
        <f t="shared" si="30"/>
        <v>OK</v>
      </c>
      <c r="L136" s="190" t="str">
        <f t="shared" si="30"/>
        <v>OK</v>
      </c>
      <c r="M136" s="190" t="str">
        <f t="shared" si="30"/>
        <v>OK</v>
      </c>
      <c r="N136" s="190" t="str">
        <f t="shared" si="30"/>
        <v>OK</v>
      </c>
      <c r="O136" s="190" t="str">
        <f t="shared" si="30"/>
        <v>OK</v>
      </c>
      <c r="P136" s="190" t="str">
        <f t="shared" si="30"/>
        <v>OK</v>
      </c>
      <c r="Q136" s="190" t="str">
        <f t="shared" si="30"/>
        <v>OK</v>
      </c>
      <c r="R136" s="190" t="str">
        <f t="shared" si="30"/>
        <v>OK</v>
      </c>
      <c r="S136" s="190" t="str">
        <f t="shared" si="30"/>
        <v>OK</v>
      </c>
    </row>
    <row r="137" spans="2:19" outlineLevel="2">
      <c r="B137" s="210" t="s">
        <v>306</v>
      </c>
      <c r="C137" s="211"/>
      <c r="D137" s="67" t="s">
        <v>357</v>
      </c>
      <c r="E137" s="243" t="s">
        <v>44</v>
      </c>
      <c r="F137" s="244" t="s">
        <v>44</v>
      </c>
      <c r="G137" s="244" t="s">
        <v>44</v>
      </c>
      <c r="H137" s="245" t="s">
        <v>44</v>
      </c>
      <c r="I137" s="194" t="str">
        <f t="shared" ref="I137:S137" si="31">IF(I80&gt;=I81,"OK","BŁĄD")</f>
        <v>OK</v>
      </c>
      <c r="J137" s="190" t="str">
        <f t="shared" si="31"/>
        <v>OK</v>
      </c>
      <c r="K137" s="190" t="str">
        <f t="shared" si="31"/>
        <v>OK</v>
      </c>
      <c r="L137" s="190" t="str">
        <f t="shared" si="31"/>
        <v>OK</v>
      </c>
      <c r="M137" s="190" t="str">
        <f t="shared" si="31"/>
        <v>OK</v>
      </c>
      <c r="N137" s="190" t="str">
        <f t="shared" si="31"/>
        <v>OK</v>
      </c>
      <c r="O137" s="190" t="str">
        <f t="shared" si="31"/>
        <v>OK</v>
      </c>
      <c r="P137" s="190" t="str">
        <f t="shared" si="31"/>
        <v>OK</v>
      </c>
      <c r="Q137" s="190" t="str">
        <f t="shared" si="31"/>
        <v>OK</v>
      </c>
      <c r="R137" s="190" t="str">
        <f t="shared" si="31"/>
        <v>OK</v>
      </c>
      <c r="S137" s="190" t="str">
        <f t="shared" si="31"/>
        <v>OK</v>
      </c>
    </row>
    <row r="138" spans="2:19" outlineLevel="2">
      <c r="B138" s="210" t="s">
        <v>307</v>
      </c>
      <c r="C138" s="211"/>
      <c r="D138" s="67" t="s">
        <v>358</v>
      </c>
      <c r="E138" s="243" t="s">
        <v>44</v>
      </c>
      <c r="F138" s="244" t="s">
        <v>44</v>
      </c>
      <c r="G138" s="244" t="s">
        <v>44</v>
      </c>
      <c r="H138" s="245" t="s">
        <v>44</v>
      </c>
      <c r="I138" s="194" t="str">
        <f t="shared" ref="I138:S138" si="32">IF(I80&gt;=I82,"OK","BŁĄD")</f>
        <v>OK</v>
      </c>
      <c r="J138" s="190" t="str">
        <f t="shared" si="32"/>
        <v>OK</v>
      </c>
      <c r="K138" s="190" t="str">
        <f t="shared" si="32"/>
        <v>OK</v>
      </c>
      <c r="L138" s="190" t="str">
        <f t="shared" si="32"/>
        <v>OK</v>
      </c>
      <c r="M138" s="190" t="str">
        <f t="shared" si="32"/>
        <v>OK</v>
      </c>
      <c r="N138" s="190" t="str">
        <f t="shared" si="32"/>
        <v>OK</v>
      </c>
      <c r="O138" s="190" t="str">
        <f t="shared" si="32"/>
        <v>OK</v>
      </c>
      <c r="P138" s="190" t="str">
        <f t="shared" si="32"/>
        <v>OK</v>
      </c>
      <c r="Q138" s="190" t="str">
        <f t="shared" si="32"/>
        <v>OK</v>
      </c>
      <c r="R138" s="190" t="str">
        <f t="shared" si="32"/>
        <v>OK</v>
      </c>
      <c r="S138" s="190" t="str">
        <f t="shared" si="32"/>
        <v>OK</v>
      </c>
    </row>
    <row r="139" spans="2:19" outlineLevel="2">
      <c r="B139" s="210" t="s">
        <v>308</v>
      </c>
      <c r="C139" s="211"/>
      <c r="D139" s="67" t="s">
        <v>359</v>
      </c>
      <c r="E139" s="243" t="s">
        <v>44</v>
      </c>
      <c r="F139" s="244" t="s">
        <v>44</v>
      </c>
      <c r="G139" s="244" t="s">
        <v>44</v>
      </c>
      <c r="H139" s="245" t="s">
        <v>44</v>
      </c>
      <c r="I139" s="194" t="str">
        <f t="shared" ref="I139:S139" si="33">IF(I84&gt;=I86,"OK","BŁĄD")</f>
        <v>OK</v>
      </c>
      <c r="J139" s="190" t="str">
        <f t="shared" si="33"/>
        <v>OK</v>
      </c>
      <c r="K139" s="190" t="str">
        <f t="shared" si="33"/>
        <v>OK</v>
      </c>
      <c r="L139" s="190" t="str">
        <f t="shared" si="33"/>
        <v>OK</v>
      </c>
      <c r="M139" s="190" t="str">
        <f t="shared" si="33"/>
        <v>OK</v>
      </c>
      <c r="N139" s="190" t="str">
        <f t="shared" si="33"/>
        <v>OK</v>
      </c>
      <c r="O139" s="190" t="str">
        <f t="shared" si="33"/>
        <v>OK</v>
      </c>
      <c r="P139" s="190" t="str">
        <f t="shared" si="33"/>
        <v>OK</v>
      </c>
      <c r="Q139" s="190" t="str">
        <f t="shared" si="33"/>
        <v>OK</v>
      </c>
      <c r="R139" s="190" t="str">
        <f t="shared" si="33"/>
        <v>OK</v>
      </c>
      <c r="S139" s="190" t="str">
        <f t="shared" si="33"/>
        <v>OK</v>
      </c>
    </row>
    <row r="140" spans="2:19" outlineLevel="2">
      <c r="B140" s="210" t="s">
        <v>309</v>
      </c>
      <c r="C140" s="211"/>
      <c r="D140" s="67" t="s">
        <v>360</v>
      </c>
      <c r="E140" s="243" t="s">
        <v>44</v>
      </c>
      <c r="F140" s="244" t="s">
        <v>44</v>
      </c>
      <c r="G140" s="244" t="s">
        <v>44</v>
      </c>
      <c r="H140" s="245" t="s">
        <v>44</v>
      </c>
      <c r="I140" s="194" t="str">
        <f t="shared" ref="I140:S140" si="34">IF(I87&gt;=I19,"OK","BŁĄD")</f>
        <v>OK</v>
      </c>
      <c r="J140" s="190" t="str">
        <f t="shared" si="34"/>
        <v>OK</v>
      </c>
      <c r="K140" s="190" t="str">
        <f t="shared" si="34"/>
        <v>OK</v>
      </c>
      <c r="L140" s="190" t="str">
        <f t="shared" si="34"/>
        <v>OK</v>
      </c>
      <c r="M140" s="190" t="str">
        <f t="shared" si="34"/>
        <v>OK</v>
      </c>
      <c r="N140" s="190" t="str">
        <f t="shared" si="34"/>
        <v>OK</v>
      </c>
      <c r="O140" s="190" t="str">
        <f t="shared" si="34"/>
        <v>OK</v>
      </c>
      <c r="P140" s="190" t="str">
        <f t="shared" si="34"/>
        <v>OK</v>
      </c>
      <c r="Q140" s="190" t="str">
        <f t="shared" si="34"/>
        <v>OK</v>
      </c>
      <c r="R140" s="190" t="str">
        <f t="shared" si="34"/>
        <v>OK</v>
      </c>
      <c r="S140" s="190" t="str">
        <f t="shared" si="34"/>
        <v>OK</v>
      </c>
    </row>
    <row r="141" spans="2:19" outlineLevel="2">
      <c r="B141" s="210" t="s">
        <v>310</v>
      </c>
      <c r="C141" s="211"/>
      <c r="D141" s="67" t="s">
        <v>361</v>
      </c>
      <c r="E141" s="243" t="s">
        <v>44</v>
      </c>
      <c r="F141" s="244" t="s">
        <v>44</v>
      </c>
      <c r="G141" s="244" t="s">
        <v>44</v>
      </c>
      <c r="H141" s="245" t="s">
        <v>44</v>
      </c>
      <c r="I141" s="194" t="str">
        <f t="shared" ref="I141:S141" si="35">IF(I94&gt;=(I95+I96+I97),"OK","BŁĄD")</f>
        <v>OK</v>
      </c>
      <c r="J141" s="190" t="str">
        <f t="shared" si="35"/>
        <v>OK</v>
      </c>
      <c r="K141" s="190" t="str">
        <f t="shared" si="35"/>
        <v>OK</v>
      </c>
      <c r="L141" s="190" t="str">
        <f t="shared" si="35"/>
        <v>OK</v>
      </c>
      <c r="M141" s="190" t="str">
        <f t="shared" si="35"/>
        <v>OK</v>
      </c>
      <c r="N141" s="190" t="str">
        <f t="shared" si="35"/>
        <v>OK</v>
      </c>
      <c r="O141" s="190" t="str">
        <f t="shared" si="35"/>
        <v>OK</v>
      </c>
      <c r="P141" s="190" t="str">
        <f t="shared" si="35"/>
        <v>OK</v>
      </c>
      <c r="Q141" s="190" t="str">
        <f t="shared" si="35"/>
        <v>OK</v>
      </c>
      <c r="R141" s="190" t="str">
        <f t="shared" si="35"/>
        <v>OK</v>
      </c>
      <c r="S141" s="190" t="str">
        <f t="shared" si="35"/>
        <v>OK</v>
      </c>
    </row>
    <row r="142" spans="2:19" outlineLevel="2">
      <c r="B142" s="210" t="s">
        <v>312</v>
      </c>
      <c r="C142" s="211"/>
      <c r="D142" s="67" t="s">
        <v>363</v>
      </c>
      <c r="E142" s="243" t="s">
        <v>44</v>
      </c>
      <c r="F142" s="244" t="s">
        <v>44</v>
      </c>
      <c r="G142" s="244" t="s">
        <v>44</v>
      </c>
      <c r="H142" s="245" t="s">
        <v>44</v>
      </c>
      <c r="I142" s="194" t="str">
        <f t="shared" ref="I142:S142" si="36">IF(I17&gt;=I18,"OK","BŁĄD")</f>
        <v>OK</v>
      </c>
      <c r="J142" s="190" t="str">
        <f t="shared" si="36"/>
        <v>OK</v>
      </c>
      <c r="K142" s="190" t="str">
        <f t="shared" si="36"/>
        <v>OK</v>
      </c>
      <c r="L142" s="190" t="str">
        <f t="shared" si="36"/>
        <v>OK</v>
      </c>
      <c r="M142" s="190" t="str">
        <f t="shared" si="36"/>
        <v>OK</v>
      </c>
      <c r="N142" s="190" t="str">
        <f t="shared" si="36"/>
        <v>OK</v>
      </c>
      <c r="O142" s="190" t="str">
        <f t="shared" si="36"/>
        <v>OK</v>
      </c>
      <c r="P142" s="190" t="str">
        <f t="shared" si="36"/>
        <v>OK</v>
      </c>
      <c r="Q142" s="190" t="str">
        <f t="shared" si="36"/>
        <v>OK</v>
      </c>
      <c r="R142" s="190" t="str">
        <f t="shared" si="36"/>
        <v>OK</v>
      </c>
      <c r="S142" s="190" t="str">
        <f t="shared" si="36"/>
        <v>OK</v>
      </c>
    </row>
    <row r="143" spans="2:19" outlineLevel="2">
      <c r="B143" s="210" t="s">
        <v>311</v>
      </c>
      <c r="C143" s="211"/>
      <c r="D143" s="67" t="s">
        <v>362</v>
      </c>
      <c r="E143" s="243" t="s">
        <v>44</v>
      </c>
      <c r="F143" s="244" t="s">
        <v>44</v>
      </c>
      <c r="G143" s="244" t="s">
        <v>44</v>
      </c>
      <c r="H143" s="245" t="s">
        <v>44</v>
      </c>
      <c r="I143" s="194" t="str">
        <f t="shared" ref="I143:S143" si="37">IF(I17&gt;=I97,"OK","BŁĄD")</f>
        <v>OK</v>
      </c>
      <c r="J143" s="190" t="str">
        <f t="shared" si="37"/>
        <v>OK</v>
      </c>
      <c r="K143" s="190" t="str">
        <f t="shared" si="37"/>
        <v>OK</v>
      </c>
      <c r="L143" s="190" t="str">
        <f t="shared" si="37"/>
        <v>OK</v>
      </c>
      <c r="M143" s="190" t="str">
        <f t="shared" si="37"/>
        <v>OK</v>
      </c>
      <c r="N143" s="190" t="str">
        <f t="shared" si="37"/>
        <v>OK</v>
      </c>
      <c r="O143" s="190" t="str">
        <f t="shared" si="37"/>
        <v>OK</v>
      </c>
      <c r="P143" s="190" t="str">
        <f t="shared" si="37"/>
        <v>OK</v>
      </c>
      <c r="Q143" s="190" t="str">
        <f t="shared" si="37"/>
        <v>OK</v>
      </c>
      <c r="R143" s="190" t="str">
        <f t="shared" si="37"/>
        <v>OK</v>
      </c>
      <c r="S143" s="190" t="str">
        <f t="shared" si="37"/>
        <v>OK</v>
      </c>
    </row>
    <row r="144" spans="2:19" outlineLevel="2">
      <c r="B144" s="210" t="s">
        <v>313</v>
      </c>
      <c r="C144" s="211"/>
      <c r="D144" s="67" t="s">
        <v>364</v>
      </c>
      <c r="E144" s="243" t="s">
        <v>44</v>
      </c>
      <c r="F144" s="244" t="s">
        <v>44</v>
      </c>
      <c r="G144" s="244" t="s">
        <v>44</v>
      </c>
      <c r="H144" s="245" t="s">
        <v>44</v>
      </c>
      <c r="I144" s="194" t="str">
        <f t="shared" ref="I144:S144" si="38">IF(I20&gt;=I21,"OK","BŁĄD")</f>
        <v>OK</v>
      </c>
      <c r="J144" s="190" t="str">
        <f t="shared" si="38"/>
        <v>OK</v>
      </c>
      <c r="K144" s="190" t="str">
        <f t="shared" si="38"/>
        <v>OK</v>
      </c>
      <c r="L144" s="190" t="str">
        <f t="shared" si="38"/>
        <v>OK</v>
      </c>
      <c r="M144" s="190" t="str">
        <f t="shared" si="38"/>
        <v>OK</v>
      </c>
      <c r="N144" s="190" t="str">
        <f t="shared" si="38"/>
        <v>OK</v>
      </c>
      <c r="O144" s="190" t="str">
        <f t="shared" si="38"/>
        <v>OK</v>
      </c>
      <c r="P144" s="190" t="str">
        <f t="shared" si="38"/>
        <v>OK</v>
      </c>
      <c r="Q144" s="190" t="str">
        <f t="shared" si="38"/>
        <v>OK</v>
      </c>
      <c r="R144" s="190" t="str">
        <f t="shared" si="38"/>
        <v>OK</v>
      </c>
      <c r="S144" s="190" t="str">
        <f t="shared" si="38"/>
        <v>OK</v>
      </c>
    </row>
    <row r="145" spans="2:19" outlineLevel="2">
      <c r="B145" s="210" t="s">
        <v>314</v>
      </c>
      <c r="C145" s="211"/>
      <c r="D145" s="67" t="s">
        <v>365</v>
      </c>
      <c r="E145" s="243" t="s">
        <v>44</v>
      </c>
      <c r="F145" s="244" t="s">
        <v>44</v>
      </c>
      <c r="G145" s="244" t="s">
        <v>44</v>
      </c>
      <c r="H145" s="245" t="s">
        <v>44</v>
      </c>
      <c r="I145" s="194" t="str">
        <f t="shared" ref="I145:S145" si="39">IF(I16&gt;=(I17+I19+I20),"OK","BŁĄD")</f>
        <v>OK</v>
      </c>
      <c r="J145" s="190" t="str">
        <f t="shared" si="39"/>
        <v>OK</v>
      </c>
      <c r="K145" s="190" t="str">
        <f t="shared" si="39"/>
        <v>OK</v>
      </c>
      <c r="L145" s="190" t="str">
        <f t="shared" si="39"/>
        <v>OK</v>
      </c>
      <c r="M145" s="190" t="str">
        <f t="shared" si="39"/>
        <v>OK</v>
      </c>
      <c r="N145" s="190" t="str">
        <f t="shared" si="39"/>
        <v>OK</v>
      </c>
      <c r="O145" s="190" t="str">
        <f t="shared" si="39"/>
        <v>OK</v>
      </c>
      <c r="P145" s="190" t="str">
        <f t="shared" si="39"/>
        <v>OK</v>
      </c>
      <c r="Q145" s="190" t="str">
        <f t="shared" si="39"/>
        <v>OK</v>
      </c>
      <c r="R145" s="190" t="str">
        <f t="shared" si="39"/>
        <v>OK</v>
      </c>
      <c r="S145" s="190" t="str">
        <f t="shared" si="39"/>
        <v>OK</v>
      </c>
    </row>
    <row r="146" spans="2:19" outlineLevel="2">
      <c r="B146" s="210" t="s">
        <v>315</v>
      </c>
      <c r="C146" s="211"/>
      <c r="D146" s="67" t="s">
        <v>366</v>
      </c>
      <c r="E146" s="243" t="s">
        <v>44</v>
      </c>
      <c r="F146" s="244" t="s">
        <v>44</v>
      </c>
      <c r="G146" s="244" t="s">
        <v>44</v>
      </c>
      <c r="H146" s="245" t="s">
        <v>44</v>
      </c>
      <c r="I146" s="194" t="str">
        <f t="shared" ref="I146:S146" si="40">IF(I16&gt;=I62,"OK","BŁĄD")</f>
        <v>OK</v>
      </c>
      <c r="J146" s="190" t="str">
        <f t="shared" si="40"/>
        <v>OK</v>
      </c>
      <c r="K146" s="190" t="str">
        <f t="shared" si="40"/>
        <v>OK</v>
      </c>
      <c r="L146" s="190" t="str">
        <f t="shared" si="40"/>
        <v>OK</v>
      </c>
      <c r="M146" s="190" t="str">
        <f t="shared" si="40"/>
        <v>OK</v>
      </c>
      <c r="N146" s="190" t="str">
        <f t="shared" si="40"/>
        <v>OK</v>
      </c>
      <c r="O146" s="190" t="str">
        <f t="shared" si="40"/>
        <v>OK</v>
      </c>
      <c r="P146" s="190" t="str">
        <f t="shared" si="40"/>
        <v>OK</v>
      </c>
      <c r="Q146" s="190" t="str">
        <f t="shared" si="40"/>
        <v>OK</v>
      </c>
      <c r="R146" s="190" t="str">
        <f t="shared" si="40"/>
        <v>OK</v>
      </c>
      <c r="S146" s="190" t="str">
        <f t="shared" si="40"/>
        <v>OK</v>
      </c>
    </row>
    <row r="147" spans="2:19" outlineLevel="2">
      <c r="B147" s="210" t="s">
        <v>316</v>
      </c>
      <c r="C147" s="211"/>
      <c r="D147" s="67" t="s">
        <v>367</v>
      </c>
      <c r="E147" s="243" t="s">
        <v>44</v>
      </c>
      <c r="F147" s="244" t="s">
        <v>44</v>
      </c>
      <c r="G147" s="244" t="s">
        <v>44</v>
      </c>
      <c r="H147" s="245" t="s">
        <v>44</v>
      </c>
      <c r="I147" s="194" t="str">
        <f t="shared" ref="I147:S147" si="41">IF(I16&gt;=I65,"OK","BŁĄD")</f>
        <v>OK</v>
      </c>
      <c r="J147" s="190" t="str">
        <f t="shared" si="41"/>
        <v>OK</v>
      </c>
      <c r="K147" s="190" t="str">
        <f t="shared" si="41"/>
        <v>OK</v>
      </c>
      <c r="L147" s="190" t="str">
        <f t="shared" si="41"/>
        <v>OK</v>
      </c>
      <c r="M147" s="190" t="str">
        <f t="shared" si="41"/>
        <v>OK</v>
      </c>
      <c r="N147" s="190" t="str">
        <f t="shared" si="41"/>
        <v>OK</v>
      </c>
      <c r="O147" s="190" t="str">
        <f t="shared" si="41"/>
        <v>OK</v>
      </c>
      <c r="P147" s="190" t="str">
        <f t="shared" si="41"/>
        <v>OK</v>
      </c>
      <c r="Q147" s="190" t="str">
        <f t="shared" si="41"/>
        <v>OK</v>
      </c>
      <c r="R147" s="190" t="str">
        <f t="shared" si="41"/>
        <v>OK</v>
      </c>
      <c r="S147" s="190" t="str">
        <f t="shared" si="41"/>
        <v>OK</v>
      </c>
    </row>
    <row r="148" spans="2:19" outlineLevel="2">
      <c r="B148" s="210" t="s">
        <v>317</v>
      </c>
      <c r="C148" s="211"/>
      <c r="D148" s="67" t="s">
        <v>368</v>
      </c>
      <c r="E148" s="243" t="s">
        <v>44</v>
      </c>
      <c r="F148" s="244" t="s">
        <v>44</v>
      </c>
      <c r="G148" s="244" t="s">
        <v>44</v>
      </c>
      <c r="H148" s="245" t="s">
        <v>44</v>
      </c>
      <c r="I148" s="194" t="str">
        <f t="shared" ref="I148:S148" si="42">IF(I16&gt;=I77,"OK","BŁĄD")</f>
        <v>OK</v>
      </c>
      <c r="J148" s="190" t="str">
        <f t="shared" si="42"/>
        <v>OK</v>
      </c>
      <c r="K148" s="190" t="str">
        <f t="shared" si="42"/>
        <v>OK</v>
      </c>
      <c r="L148" s="190" t="str">
        <f t="shared" si="42"/>
        <v>OK</v>
      </c>
      <c r="M148" s="190" t="str">
        <f t="shared" si="42"/>
        <v>OK</v>
      </c>
      <c r="N148" s="190" t="str">
        <f t="shared" si="42"/>
        <v>OK</v>
      </c>
      <c r="O148" s="190" t="str">
        <f t="shared" si="42"/>
        <v>OK</v>
      </c>
      <c r="P148" s="190" t="str">
        <f t="shared" si="42"/>
        <v>OK</v>
      </c>
      <c r="Q148" s="190" t="str">
        <f t="shared" si="42"/>
        <v>OK</v>
      </c>
      <c r="R148" s="190" t="str">
        <f t="shared" si="42"/>
        <v>OK</v>
      </c>
      <c r="S148" s="190" t="str">
        <f t="shared" si="42"/>
        <v>OK</v>
      </c>
    </row>
    <row r="149" spans="2:19" outlineLevel="2">
      <c r="B149" s="210" t="s">
        <v>318</v>
      </c>
      <c r="C149" s="211"/>
      <c r="D149" s="67" t="s">
        <v>369</v>
      </c>
      <c r="E149" s="243" t="s">
        <v>44</v>
      </c>
      <c r="F149" s="244" t="s">
        <v>44</v>
      </c>
      <c r="G149" s="244" t="s">
        <v>44</v>
      </c>
      <c r="H149" s="245" t="s">
        <v>44</v>
      </c>
      <c r="I149" s="194" t="str">
        <f t="shared" ref="I149:S149" si="43">IF(I16&gt;=I90,"OK","BŁĄD")</f>
        <v>OK</v>
      </c>
      <c r="J149" s="190" t="str">
        <f t="shared" si="43"/>
        <v>OK</v>
      </c>
      <c r="K149" s="190" t="str">
        <f t="shared" si="43"/>
        <v>OK</v>
      </c>
      <c r="L149" s="190" t="str">
        <f t="shared" si="43"/>
        <v>OK</v>
      </c>
      <c r="M149" s="190" t="str">
        <f t="shared" si="43"/>
        <v>OK</v>
      </c>
      <c r="N149" s="190" t="str">
        <f t="shared" si="43"/>
        <v>OK</v>
      </c>
      <c r="O149" s="190" t="str">
        <f t="shared" si="43"/>
        <v>OK</v>
      </c>
      <c r="P149" s="190" t="str">
        <f t="shared" si="43"/>
        <v>OK</v>
      </c>
      <c r="Q149" s="190" t="str">
        <f t="shared" si="43"/>
        <v>OK</v>
      </c>
      <c r="R149" s="190" t="str">
        <f t="shared" si="43"/>
        <v>OK</v>
      </c>
      <c r="S149" s="190" t="str">
        <f t="shared" si="43"/>
        <v>OK</v>
      </c>
    </row>
    <row r="150" spans="2:19" outlineLevel="2">
      <c r="B150" s="210" t="s">
        <v>319</v>
      </c>
      <c r="C150" s="211"/>
      <c r="D150" s="67" t="s">
        <v>370</v>
      </c>
      <c r="E150" s="243" t="s">
        <v>44</v>
      </c>
      <c r="F150" s="244" t="s">
        <v>44</v>
      </c>
      <c r="G150" s="244" t="s">
        <v>44</v>
      </c>
      <c r="H150" s="245" t="s">
        <v>44</v>
      </c>
      <c r="I150" s="194" t="str">
        <f t="shared" ref="I150:S150" si="44">IF(I22&gt;=I66,"OK","BŁĄD")</f>
        <v>OK</v>
      </c>
      <c r="J150" s="190" t="str">
        <f t="shared" si="44"/>
        <v>OK</v>
      </c>
      <c r="K150" s="190" t="str">
        <f t="shared" si="44"/>
        <v>OK</v>
      </c>
      <c r="L150" s="190" t="str">
        <f t="shared" si="44"/>
        <v>OK</v>
      </c>
      <c r="M150" s="190" t="str">
        <f t="shared" si="44"/>
        <v>OK</v>
      </c>
      <c r="N150" s="190" t="str">
        <f t="shared" si="44"/>
        <v>OK</v>
      </c>
      <c r="O150" s="190" t="str">
        <f t="shared" si="44"/>
        <v>OK</v>
      </c>
      <c r="P150" s="190" t="str">
        <f t="shared" si="44"/>
        <v>OK</v>
      </c>
      <c r="Q150" s="190" t="str">
        <f t="shared" si="44"/>
        <v>OK</v>
      </c>
      <c r="R150" s="190" t="str">
        <f t="shared" si="44"/>
        <v>OK</v>
      </c>
      <c r="S150" s="190" t="str">
        <f t="shared" si="44"/>
        <v>OK</v>
      </c>
    </row>
    <row r="151" spans="2:19" outlineLevel="2">
      <c r="B151" s="210" t="s">
        <v>320</v>
      </c>
      <c r="C151" s="211"/>
      <c r="D151" s="67" t="s">
        <v>371</v>
      </c>
      <c r="E151" s="243" t="s">
        <v>44</v>
      </c>
      <c r="F151" s="244" t="s">
        <v>44</v>
      </c>
      <c r="G151" s="244" t="s">
        <v>44</v>
      </c>
      <c r="H151" s="245" t="s">
        <v>44</v>
      </c>
      <c r="I151" s="194" t="str">
        <f t="shared" ref="I151:S151" si="45">IF(I22&gt;=I67+I68,"OK","BŁĄD")</f>
        <v>OK</v>
      </c>
      <c r="J151" s="190" t="str">
        <f t="shared" si="45"/>
        <v>OK</v>
      </c>
      <c r="K151" s="190" t="str">
        <f t="shared" si="45"/>
        <v>OK</v>
      </c>
      <c r="L151" s="190" t="str">
        <f t="shared" si="45"/>
        <v>OK</v>
      </c>
      <c r="M151" s="190" t="str">
        <f t="shared" si="45"/>
        <v>OK</v>
      </c>
      <c r="N151" s="190" t="str">
        <f t="shared" si="45"/>
        <v>OK</v>
      </c>
      <c r="O151" s="190" t="str">
        <f t="shared" si="45"/>
        <v>OK</v>
      </c>
      <c r="P151" s="190" t="str">
        <f t="shared" si="45"/>
        <v>OK</v>
      </c>
      <c r="Q151" s="190" t="str">
        <f t="shared" si="45"/>
        <v>OK</v>
      </c>
      <c r="R151" s="190" t="str">
        <f t="shared" si="45"/>
        <v>OK</v>
      </c>
      <c r="S151" s="190" t="str">
        <f t="shared" si="45"/>
        <v>OK</v>
      </c>
    </row>
    <row r="152" spans="2:19" outlineLevel="2">
      <c r="B152" s="210" t="s">
        <v>321</v>
      </c>
      <c r="C152" s="211"/>
      <c r="D152" s="67" t="s">
        <v>372</v>
      </c>
      <c r="E152" s="243" t="s">
        <v>44</v>
      </c>
      <c r="F152" s="244" t="s">
        <v>44</v>
      </c>
      <c r="G152" s="244" t="s">
        <v>44</v>
      </c>
      <c r="H152" s="245" t="s">
        <v>44</v>
      </c>
      <c r="I152" s="194" t="str">
        <f t="shared" ref="I152:S152" si="46">IF(I22&gt;=I69,"OK","BŁĄD")</f>
        <v>OK</v>
      </c>
      <c r="J152" s="190" t="str">
        <f t="shared" si="46"/>
        <v>OK</v>
      </c>
      <c r="K152" s="190" t="str">
        <f t="shared" si="46"/>
        <v>OK</v>
      </c>
      <c r="L152" s="190" t="str">
        <f t="shared" si="46"/>
        <v>OK</v>
      </c>
      <c r="M152" s="190" t="str">
        <f t="shared" si="46"/>
        <v>OK</v>
      </c>
      <c r="N152" s="190" t="str">
        <f t="shared" si="46"/>
        <v>OK</v>
      </c>
      <c r="O152" s="190" t="str">
        <f t="shared" si="46"/>
        <v>OK</v>
      </c>
      <c r="P152" s="190" t="str">
        <f t="shared" si="46"/>
        <v>OK</v>
      </c>
      <c r="Q152" s="190" t="str">
        <f t="shared" si="46"/>
        <v>OK</v>
      </c>
      <c r="R152" s="190" t="str">
        <f t="shared" si="46"/>
        <v>OK</v>
      </c>
      <c r="S152" s="190" t="str">
        <f t="shared" si="46"/>
        <v>OK</v>
      </c>
    </row>
    <row r="153" spans="2:19" outlineLevel="2">
      <c r="B153" s="210" t="s">
        <v>322</v>
      </c>
      <c r="C153" s="211"/>
      <c r="D153" s="67" t="s">
        <v>373</v>
      </c>
      <c r="E153" s="243" t="s">
        <v>44</v>
      </c>
      <c r="F153" s="244" t="s">
        <v>44</v>
      </c>
      <c r="G153" s="244" t="s">
        <v>44</v>
      </c>
      <c r="H153" s="245" t="s">
        <v>44</v>
      </c>
      <c r="I153" s="194" t="str">
        <f t="shared" ref="I153:S153" si="47">IF(I22&gt;=I80,"OK","BŁĄD")</f>
        <v>OK</v>
      </c>
      <c r="J153" s="190" t="str">
        <f t="shared" si="47"/>
        <v>OK</v>
      </c>
      <c r="K153" s="190" t="str">
        <f t="shared" si="47"/>
        <v>OK</v>
      </c>
      <c r="L153" s="190" t="str">
        <f t="shared" si="47"/>
        <v>OK</v>
      </c>
      <c r="M153" s="190" t="str">
        <f t="shared" si="47"/>
        <v>OK</v>
      </c>
      <c r="N153" s="190" t="str">
        <f t="shared" si="47"/>
        <v>OK</v>
      </c>
      <c r="O153" s="190" t="str">
        <f t="shared" si="47"/>
        <v>OK</v>
      </c>
      <c r="P153" s="190" t="str">
        <f t="shared" si="47"/>
        <v>OK</v>
      </c>
      <c r="Q153" s="190" t="str">
        <f t="shared" si="47"/>
        <v>OK</v>
      </c>
      <c r="R153" s="190" t="str">
        <f t="shared" si="47"/>
        <v>OK</v>
      </c>
      <c r="S153" s="190" t="str">
        <f t="shared" si="47"/>
        <v>OK</v>
      </c>
    </row>
    <row r="154" spans="2:19" outlineLevel="2">
      <c r="B154" s="210" t="s">
        <v>323</v>
      </c>
      <c r="C154" s="211"/>
      <c r="D154" s="67" t="s">
        <v>374</v>
      </c>
      <c r="E154" s="243" t="s">
        <v>44</v>
      </c>
      <c r="F154" s="244" t="s">
        <v>44</v>
      </c>
      <c r="G154" s="244" t="s">
        <v>44</v>
      </c>
      <c r="H154" s="245" t="s">
        <v>44</v>
      </c>
      <c r="I154" s="194" t="str">
        <f t="shared" ref="I154:S154" si="48">IF(I25&gt;=I26,"OK","BŁĄD")</f>
        <v>OK</v>
      </c>
      <c r="J154" s="190" t="str">
        <f t="shared" si="48"/>
        <v>OK</v>
      </c>
      <c r="K154" s="190" t="str">
        <f t="shared" si="48"/>
        <v>OK</v>
      </c>
      <c r="L154" s="190" t="str">
        <f t="shared" si="48"/>
        <v>OK</v>
      </c>
      <c r="M154" s="190" t="str">
        <f t="shared" si="48"/>
        <v>OK</v>
      </c>
      <c r="N154" s="190" t="str">
        <f t="shared" si="48"/>
        <v>OK</v>
      </c>
      <c r="O154" s="190" t="str">
        <f t="shared" si="48"/>
        <v>OK</v>
      </c>
      <c r="P154" s="190" t="str">
        <f t="shared" si="48"/>
        <v>OK</v>
      </c>
      <c r="Q154" s="190" t="str">
        <f t="shared" si="48"/>
        <v>OK</v>
      </c>
      <c r="R154" s="190" t="str">
        <f t="shared" si="48"/>
        <v>OK</v>
      </c>
      <c r="S154" s="190" t="str">
        <f t="shared" si="48"/>
        <v>OK</v>
      </c>
    </row>
    <row r="155" spans="2:19" outlineLevel="2">
      <c r="B155" s="210" t="s">
        <v>324</v>
      </c>
      <c r="C155" s="211"/>
      <c r="D155" s="67" t="s">
        <v>375</v>
      </c>
      <c r="E155" s="243" t="s">
        <v>44</v>
      </c>
      <c r="F155" s="244" t="s">
        <v>44</v>
      </c>
      <c r="G155" s="244" t="s">
        <v>44</v>
      </c>
      <c r="H155" s="245" t="s">
        <v>44</v>
      </c>
      <c r="I155" s="194" t="str">
        <f t="shared" ref="I155:S155" si="49">IF(I27&gt;=I28,"OK","BŁĄD")</f>
        <v>OK</v>
      </c>
      <c r="J155" s="190" t="str">
        <f t="shared" si="49"/>
        <v>OK</v>
      </c>
      <c r="K155" s="190" t="str">
        <f t="shared" si="49"/>
        <v>OK</v>
      </c>
      <c r="L155" s="190" t="str">
        <f t="shared" si="49"/>
        <v>OK</v>
      </c>
      <c r="M155" s="190" t="str">
        <f t="shared" si="49"/>
        <v>OK</v>
      </c>
      <c r="N155" s="190" t="str">
        <f t="shared" si="49"/>
        <v>OK</v>
      </c>
      <c r="O155" s="190" t="str">
        <f t="shared" si="49"/>
        <v>OK</v>
      </c>
      <c r="P155" s="190" t="str">
        <f t="shared" si="49"/>
        <v>OK</v>
      </c>
      <c r="Q155" s="190" t="str">
        <f t="shared" si="49"/>
        <v>OK</v>
      </c>
      <c r="R155" s="190" t="str">
        <f t="shared" si="49"/>
        <v>OK</v>
      </c>
      <c r="S155" s="190" t="str">
        <f t="shared" si="49"/>
        <v>OK</v>
      </c>
    </row>
    <row r="156" spans="2:19" outlineLevel="2">
      <c r="B156" s="210" t="s">
        <v>325</v>
      </c>
      <c r="C156" s="211"/>
      <c r="D156" s="67" t="s">
        <v>376</v>
      </c>
      <c r="E156" s="243" t="s">
        <v>44</v>
      </c>
      <c r="F156" s="244" t="s">
        <v>44</v>
      </c>
      <c r="G156" s="244" t="s">
        <v>44</v>
      </c>
      <c r="H156" s="245" t="s">
        <v>44</v>
      </c>
      <c r="I156" s="194" t="str">
        <f t="shared" ref="I156:S156" si="50">IF(I29&gt;=I30,"OK","BŁĄD")</f>
        <v>OK</v>
      </c>
      <c r="J156" s="190" t="str">
        <f t="shared" si="50"/>
        <v>OK</v>
      </c>
      <c r="K156" s="190" t="str">
        <f t="shared" si="50"/>
        <v>OK</v>
      </c>
      <c r="L156" s="190" t="str">
        <f t="shared" si="50"/>
        <v>OK</v>
      </c>
      <c r="M156" s="190" t="str">
        <f t="shared" si="50"/>
        <v>OK</v>
      </c>
      <c r="N156" s="190" t="str">
        <f t="shared" si="50"/>
        <v>OK</v>
      </c>
      <c r="O156" s="190" t="str">
        <f t="shared" si="50"/>
        <v>OK</v>
      </c>
      <c r="P156" s="190" t="str">
        <f t="shared" si="50"/>
        <v>OK</v>
      </c>
      <c r="Q156" s="190" t="str">
        <f t="shared" si="50"/>
        <v>OK</v>
      </c>
      <c r="R156" s="190" t="str">
        <f t="shared" si="50"/>
        <v>OK</v>
      </c>
      <c r="S156" s="190" t="str">
        <f t="shared" si="50"/>
        <v>OK</v>
      </c>
    </row>
    <row r="157" spans="2:19" outlineLevel="2">
      <c r="B157" s="210" t="s">
        <v>326</v>
      </c>
      <c r="C157" s="211"/>
      <c r="D157" s="67" t="s">
        <v>377</v>
      </c>
      <c r="E157" s="243" t="s">
        <v>44</v>
      </c>
      <c r="F157" s="244" t="s">
        <v>44</v>
      </c>
      <c r="G157" s="244" t="s">
        <v>44</v>
      </c>
      <c r="H157" s="245" t="s">
        <v>44</v>
      </c>
      <c r="I157" s="194" t="str">
        <f t="shared" ref="I157:S157" si="51">IF(I31&gt;=I32,"OK","BŁĄD")</f>
        <v>OK</v>
      </c>
      <c r="J157" s="190" t="str">
        <f t="shared" si="51"/>
        <v>OK</v>
      </c>
      <c r="K157" s="190" t="str">
        <f t="shared" si="51"/>
        <v>OK</v>
      </c>
      <c r="L157" s="190" t="str">
        <f t="shared" si="51"/>
        <v>OK</v>
      </c>
      <c r="M157" s="190" t="str">
        <f t="shared" si="51"/>
        <v>OK</v>
      </c>
      <c r="N157" s="190" t="str">
        <f t="shared" si="51"/>
        <v>OK</v>
      </c>
      <c r="O157" s="190" t="str">
        <f t="shared" si="51"/>
        <v>OK</v>
      </c>
      <c r="P157" s="190" t="str">
        <f t="shared" si="51"/>
        <v>OK</v>
      </c>
      <c r="Q157" s="190" t="str">
        <f t="shared" si="51"/>
        <v>OK</v>
      </c>
      <c r="R157" s="190" t="str">
        <f t="shared" si="51"/>
        <v>OK</v>
      </c>
      <c r="S157" s="190" t="str">
        <f t="shared" si="51"/>
        <v>OK</v>
      </c>
    </row>
    <row r="158" spans="2:19" outlineLevel="2">
      <c r="B158" s="210" t="s">
        <v>330</v>
      </c>
      <c r="C158" s="211"/>
      <c r="D158" s="67" t="s">
        <v>381</v>
      </c>
      <c r="E158" s="243" t="s">
        <v>44</v>
      </c>
      <c r="F158" s="244" t="s">
        <v>44</v>
      </c>
      <c r="G158" s="244" t="s">
        <v>44</v>
      </c>
      <c r="H158" s="245" t="s">
        <v>44</v>
      </c>
      <c r="I158" s="194" t="str">
        <f t="shared" ref="I158:S158" si="52">IF(I34&gt;=I35,"OK","BŁĄD")</f>
        <v>OK</v>
      </c>
      <c r="J158" s="190" t="str">
        <f t="shared" si="52"/>
        <v>OK</v>
      </c>
      <c r="K158" s="190" t="str">
        <f t="shared" si="52"/>
        <v>OK</v>
      </c>
      <c r="L158" s="190" t="str">
        <f t="shared" si="52"/>
        <v>OK</v>
      </c>
      <c r="M158" s="190" t="str">
        <f t="shared" si="52"/>
        <v>OK</v>
      </c>
      <c r="N158" s="190" t="str">
        <f t="shared" si="52"/>
        <v>OK</v>
      </c>
      <c r="O158" s="190" t="str">
        <f t="shared" si="52"/>
        <v>OK</v>
      </c>
      <c r="P158" s="190" t="str">
        <f t="shared" si="52"/>
        <v>OK</v>
      </c>
      <c r="Q158" s="190" t="str">
        <f t="shared" si="52"/>
        <v>OK</v>
      </c>
      <c r="R158" s="190" t="str">
        <f t="shared" si="52"/>
        <v>OK</v>
      </c>
      <c r="S158" s="190" t="str">
        <f t="shared" si="52"/>
        <v>OK</v>
      </c>
    </row>
    <row r="159" spans="2:19" outlineLevel="2">
      <c r="B159" s="210" t="s">
        <v>327</v>
      </c>
      <c r="C159" s="211"/>
      <c r="D159" s="67" t="s">
        <v>378</v>
      </c>
      <c r="E159" s="243" t="s">
        <v>44</v>
      </c>
      <c r="F159" s="244" t="s">
        <v>44</v>
      </c>
      <c r="G159" s="244" t="s">
        <v>44</v>
      </c>
      <c r="H159" s="245" t="s">
        <v>44</v>
      </c>
      <c r="I159" s="194" t="str">
        <f t="shared" ref="I159:S159" si="53">IF(I35&gt;=I36,"OK","BŁĄD")</f>
        <v>OK</v>
      </c>
      <c r="J159" s="190" t="str">
        <f t="shared" si="53"/>
        <v>OK</v>
      </c>
      <c r="K159" s="190" t="str">
        <f t="shared" si="53"/>
        <v>OK</v>
      </c>
      <c r="L159" s="190" t="str">
        <f t="shared" si="53"/>
        <v>OK</v>
      </c>
      <c r="M159" s="190" t="str">
        <f t="shared" si="53"/>
        <v>OK</v>
      </c>
      <c r="N159" s="190" t="str">
        <f t="shared" si="53"/>
        <v>OK</v>
      </c>
      <c r="O159" s="190" t="str">
        <f t="shared" si="53"/>
        <v>OK</v>
      </c>
      <c r="P159" s="190" t="str">
        <f t="shared" si="53"/>
        <v>OK</v>
      </c>
      <c r="Q159" s="190" t="str">
        <f t="shared" si="53"/>
        <v>OK</v>
      </c>
      <c r="R159" s="190" t="str">
        <f t="shared" si="53"/>
        <v>OK</v>
      </c>
      <c r="S159" s="190" t="str">
        <f t="shared" si="53"/>
        <v>OK</v>
      </c>
    </row>
    <row r="160" spans="2:19" outlineLevel="2">
      <c r="B160" s="210" t="s">
        <v>328</v>
      </c>
      <c r="C160" s="211"/>
      <c r="D160" s="67" t="s">
        <v>379</v>
      </c>
      <c r="E160" s="243" t="s">
        <v>44</v>
      </c>
      <c r="F160" s="244" t="s">
        <v>44</v>
      </c>
      <c r="G160" s="244" t="s">
        <v>44</v>
      </c>
      <c r="H160" s="245" t="s">
        <v>44</v>
      </c>
      <c r="I160" s="194" t="str">
        <f t="shared" ref="I160:S160" si="54">IF(I34&gt;=I60,"OK","BŁĄD")</f>
        <v>OK</v>
      </c>
      <c r="J160" s="190" t="str">
        <f t="shared" si="54"/>
        <v>OK</v>
      </c>
      <c r="K160" s="190" t="str">
        <f t="shared" si="54"/>
        <v>OK</v>
      </c>
      <c r="L160" s="190" t="str">
        <f t="shared" si="54"/>
        <v>OK</v>
      </c>
      <c r="M160" s="190" t="str">
        <f t="shared" si="54"/>
        <v>OK</v>
      </c>
      <c r="N160" s="190" t="str">
        <f t="shared" si="54"/>
        <v>OK</v>
      </c>
      <c r="O160" s="190" t="str">
        <f t="shared" si="54"/>
        <v>OK</v>
      </c>
      <c r="P160" s="190" t="str">
        <f t="shared" si="54"/>
        <v>OK</v>
      </c>
      <c r="Q160" s="190" t="str">
        <f t="shared" si="54"/>
        <v>OK</v>
      </c>
      <c r="R160" s="190" t="str">
        <f t="shared" si="54"/>
        <v>OK</v>
      </c>
      <c r="S160" s="190" t="str">
        <f t="shared" si="54"/>
        <v>OK</v>
      </c>
    </row>
    <row r="161" spans="2:20" outlineLevel="2">
      <c r="B161" s="210" t="s">
        <v>329</v>
      </c>
      <c r="C161" s="211"/>
      <c r="D161" s="67" t="s">
        <v>380</v>
      </c>
      <c r="E161" s="243" t="s">
        <v>44</v>
      </c>
      <c r="F161" s="244" t="s">
        <v>44</v>
      </c>
      <c r="G161" s="244" t="s">
        <v>44</v>
      </c>
      <c r="H161" s="245" t="s">
        <v>44</v>
      </c>
      <c r="I161" s="194" t="str">
        <f t="shared" ref="I161:S161" si="55">IF(I34&gt;=I92,"OK","BŁĄD")</f>
        <v>OK</v>
      </c>
      <c r="J161" s="190" t="str">
        <f t="shared" si="55"/>
        <v>OK</v>
      </c>
      <c r="K161" s="190" t="str">
        <f t="shared" si="55"/>
        <v>OK</v>
      </c>
      <c r="L161" s="190" t="str">
        <f t="shared" si="55"/>
        <v>OK</v>
      </c>
      <c r="M161" s="190" t="str">
        <f t="shared" si="55"/>
        <v>OK</v>
      </c>
      <c r="N161" s="190" t="str">
        <f t="shared" si="55"/>
        <v>OK</v>
      </c>
      <c r="O161" s="190" t="str">
        <f t="shared" si="55"/>
        <v>OK</v>
      </c>
      <c r="P161" s="190" t="str">
        <f t="shared" si="55"/>
        <v>OK</v>
      </c>
      <c r="Q161" s="190" t="str">
        <f t="shared" si="55"/>
        <v>OK</v>
      </c>
      <c r="R161" s="190" t="str">
        <f t="shared" si="55"/>
        <v>OK</v>
      </c>
      <c r="S161" s="190" t="str">
        <f t="shared" si="55"/>
        <v>OK</v>
      </c>
    </row>
    <row r="162" spans="2:20" outlineLevel="2">
      <c r="B162" s="210" t="s">
        <v>333</v>
      </c>
      <c r="C162" s="211"/>
      <c r="D162" s="67" t="s">
        <v>384</v>
      </c>
      <c r="E162" s="243" t="s">
        <v>44</v>
      </c>
      <c r="F162" s="244" t="s">
        <v>44</v>
      </c>
      <c r="G162" s="244" t="s">
        <v>44</v>
      </c>
      <c r="H162" s="245" t="s">
        <v>44</v>
      </c>
      <c r="I162" s="194" t="str">
        <f t="shared" ref="I162:S162" si="56">IF(I38&gt;=I39,"OK","BŁĄD")</f>
        <v>OK</v>
      </c>
      <c r="J162" s="190" t="str">
        <f t="shared" si="56"/>
        <v>OK</v>
      </c>
      <c r="K162" s="190" t="str">
        <f t="shared" si="56"/>
        <v>OK</v>
      </c>
      <c r="L162" s="190" t="str">
        <f t="shared" si="56"/>
        <v>OK</v>
      </c>
      <c r="M162" s="190" t="str">
        <f t="shared" si="56"/>
        <v>OK</v>
      </c>
      <c r="N162" s="190" t="str">
        <f t="shared" si="56"/>
        <v>OK</v>
      </c>
      <c r="O162" s="190" t="str">
        <f t="shared" si="56"/>
        <v>OK</v>
      </c>
      <c r="P162" s="190" t="str">
        <f t="shared" si="56"/>
        <v>OK</v>
      </c>
      <c r="Q162" s="190" t="str">
        <f t="shared" si="56"/>
        <v>OK</v>
      </c>
      <c r="R162" s="190" t="str">
        <f t="shared" si="56"/>
        <v>OK</v>
      </c>
      <c r="S162" s="190" t="str">
        <f t="shared" si="56"/>
        <v>OK</v>
      </c>
    </row>
    <row r="163" spans="2:20" outlineLevel="2">
      <c r="B163" s="210" t="s">
        <v>334</v>
      </c>
      <c r="C163" s="211"/>
      <c r="D163" s="67" t="s">
        <v>385</v>
      </c>
      <c r="E163" s="243" t="s">
        <v>44</v>
      </c>
      <c r="F163" s="244" t="s">
        <v>44</v>
      </c>
      <c r="G163" s="244" t="s">
        <v>44</v>
      </c>
      <c r="H163" s="245" t="s">
        <v>44</v>
      </c>
      <c r="I163" s="194" t="str">
        <f t="shared" ref="I163:S163" si="57">IF(I38&gt;=I43,"OK","BŁĄD")</f>
        <v>OK</v>
      </c>
      <c r="J163" s="190" t="str">
        <f t="shared" si="57"/>
        <v>OK</v>
      </c>
      <c r="K163" s="190" t="str">
        <f t="shared" si="57"/>
        <v>OK</v>
      </c>
      <c r="L163" s="190" t="str">
        <f t="shared" si="57"/>
        <v>OK</v>
      </c>
      <c r="M163" s="190" t="str">
        <f t="shared" si="57"/>
        <v>OK</v>
      </c>
      <c r="N163" s="190" t="str">
        <f t="shared" si="57"/>
        <v>OK</v>
      </c>
      <c r="O163" s="190" t="str">
        <f t="shared" si="57"/>
        <v>OK</v>
      </c>
      <c r="P163" s="190" t="str">
        <f t="shared" si="57"/>
        <v>OK</v>
      </c>
      <c r="Q163" s="190" t="str">
        <f t="shared" si="57"/>
        <v>OK</v>
      </c>
      <c r="R163" s="190" t="str">
        <f t="shared" si="57"/>
        <v>OK</v>
      </c>
      <c r="S163" s="190" t="str">
        <f t="shared" si="57"/>
        <v>OK</v>
      </c>
    </row>
    <row r="164" spans="2:20" outlineLevel="2">
      <c r="B164" s="210" t="s">
        <v>332</v>
      </c>
      <c r="C164" s="211"/>
      <c r="D164" s="67" t="s">
        <v>383</v>
      </c>
      <c r="E164" s="243" t="s">
        <v>44</v>
      </c>
      <c r="F164" s="244" t="s">
        <v>44</v>
      </c>
      <c r="G164" s="244" t="s">
        <v>44</v>
      </c>
      <c r="H164" s="245" t="s">
        <v>44</v>
      </c>
      <c r="I164" s="194" t="str">
        <f t="shared" ref="I164:S164" si="58">IF(I38&gt;=I93,"OK","BŁĄD")</f>
        <v>OK</v>
      </c>
      <c r="J164" s="190" t="str">
        <f t="shared" si="58"/>
        <v>OK</v>
      </c>
      <c r="K164" s="190" t="str">
        <f t="shared" si="58"/>
        <v>OK</v>
      </c>
      <c r="L164" s="190" t="str">
        <f t="shared" si="58"/>
        <v>OK</v>
      </c>
      <c r="M164" s="190" t="str">
        <f t="shared" si="58"/>
        <v>OK</v>
      </c>
      <c r="N164" s="190" t="str">
        <f t="shared" si="58"/>
        <v>OK</v>
      </c>
      <c r="O164" s="190" t="str">
        <f t="shared" si="58"/>
        <v>OK</v>
      </c>
      <c r="P164" s="190" t="str">
        <f t="shared" si="58"/>
        <v>OK</v>
      </c>
      <c r="Q164" s="190" t="str">
        <f t="shared" si="58"/>
        <v>OK</v>
      </c>
      <c r="R164" s="190" t="str">
        <f t="shared" si="58"/>
        <v>OK</v>
      </c>
      <c r="S164" s="190" t="str">
        <f t="shared" si="58"/>
        <v>OK</v>
      </c>
    </row>
    <row r="165" spans="2:20" outlineLevel="2">
      <c r="B165" s="210" t="s">
        <v>331</v>
      </c>
      <c r="C165" s="211"/>
      <c r="D165" s="67" t="s">
        <v>382</v>
      </c>
      <c r="E165" s="243" t="s">
        <v>44</v>
      </c>
      <c r="F165" s="244" t="s">
        <v>44</v>
      </c>
      <c r="G165" s="244" t="s">
        <v>44</v>
      </c>
      <c r="H165" s="245" t="s">
        <v>44</v>
      </c>
      <c r="I165" s="194" t="str">
        <f t="shared" ref="I165:S165" si="59">+IF(I39&gt;=I40,"OK","BŁĄD")</f>
        <v>OK</v>
      </c>
      <c r="J165" s="190" t="str">
        <f t="shared" si="59"/>
        <v>OK</v>
      </c>
      <c r="K165" s="190" t="str">
        <f t="shared" si="59"/>
        <v>OK</v>
      </c>
      <c r="L165" s="190" t="str">
        <f t="shared" si="59"/>
        <v>OK</v>
      </c>
      <c r="M165" s="190" t="str">
        <f t="shared" si="59"/>
        <v>OK</v>
      </c>
      <c r="N165" s="190" t="str">
        <f t="shared" si="59"/>
        <v>OK</v>
      </c>
      <c r="O165" s="190" t="str">
        <f t="shared" si="59"/>
        <v>OK</v>
      </c>
      <c r="P165" s="190" t="str">
        <f t="shared" si="59"/>
        <v>OK</v>
      </c>
      <c r="Q165" s="190" t="str">
        <f t="shared" si="59"/>
        <v>OK</v>
      </c>
      <c r="R165" s="190" t="str">
        <f t="shared" si="59"/>
        <v>OK</v>
      </c>
      <c r="S165" s="190" t="str">
        <f t="shared" si="59"/>
        <v>OK</v>
      </c>
    </row>
    <row r="166" spans="2:20" outlineLevel="2">
      <c r="B166" s="210" t="s">
        <v>335</v>
      </c>
      <c r="C166" s="211"/>
      <c r="D166" s="67" t="s">
        <v>386</v>
      </c>
      <c r="E166" s="243" t="s">
        <v>44</v>
      </c>
      <c r="F166" s="244" t="s">
        <v>44</v>
      </c>
      <c r="G166" s="244" t="s">
        <v>44</v>
      </c>
      <c r="H166" s="245" t="s">
        <v>44</v>
      </c>
      <c r="I166" s="194" t="str">
        <f t="shared" ref="I166:S166" si="60">IF(I43&gt;=I84,"OK","BŁĄD")</f>
        <v>OK</v>
      </c>
      <c r="J166" s="190" t="str">
        <f t="shared" si="60"/>
        <v>OK</v>
      </c>
      <c r="K166" s="190" t="str">
        <f t="shared" si="60"/>
        <v>OK</v>
      </c>
      <c r="L166" s="190" t="str">
        <f t="shared" si="60"/>
        <v>OK</v>
      </c>
      <c r="M166" s="190" t="str">
        <f t="shared" si="60"/>
        <v>OK</v>
      </c>
      <c r="N166" s="190" t="str">
        <f t="shared" si="60"/>
        <v>OK</v>
      </c>
      <c r="O166" s="190" t="str">
        <f t="shared" si="60"/>
        <v>OK</v>
      </c>
      <c r="P166" s="190" t="str">
        <f t="shared" si="60"/>
        <v>OK</v>
      </c>
      <c r="Q166" s="190" t="str">
        <f t="shared" si="60"/>
        <v>OK</v>
      </c>
      <c r="R166" s="190" t="str">
        <f t="shared" si="60"/>
        <v>OK</v>
      </c>
      <c r="S166" s="190" t="str">
        <f t="shared" si="60"/>
        <v>OK</v>
      </c>
    </row>
    <row r="167" spans="2:20" outlineLevel="2">
      <c r="B167" s="212" t="s">
        <v>336</v>
      </c>
      <c r="C167" s="213"/>
      <c r="D167" s="68" t="s">
        <v>387</v>
      </c>
      <c r="E167" s="247" t="s">
        <v>44</v>
      </c>
      <c r="F167" s="248" t="s">
        <v>44</v>
      </c>
      <c r="G167" s="248" t="s">
        <v>44</v>
      </c>
      <c r="H167" s="249" t="s">
        <v>44</v>
      </c>
      <c r="I167" s="195" t="str">
        <f t="shared" ref="I167:S167" si="61">IF(I20&lt;&gt;0,IF(I21&lt;&gt;0,"OK","BŁĄD"),"N/D")</f>
        <v>OK</v>
      </c>
      <c r="J167" s="192" t="str">
        <f t="shared" si="61"/>
        <v>OK</v>
      </c>
      <c r="K167" s="192" t="str">
        <f t="shared" si="61"/>
        <v>OK</v>
      </c>
      <c r="L167" s="192" t="str">
        <f t="shared" si="61"/>
        <v>OK</v>
      </c>
      <c r="M167" s="192" t="str">
        <f t="shared" si="61"/>
        <v>OK</v>
      </c>
      <c r="N167" s="192" t="str">
        <f t="shared" si="61"/>
        <v>OK</v>
      </c>
      <c r="O167" s="192" t="str">
        <f t="shared" si="61"/>
        <v>OK</v>
      </c>
      <c r="P167" s="192" t="str">
        <f t="shared" si="61"/>
        <v>OK</v>
      </c>
      <c r="Q167" s="192" t="str">
        <f t="shared" si="61"/>
        <v>OK</v>
      </c>
      <c r="R167" s="192" t="str">
        <f t="shared" si="61"/>
        <v>OK</v>
      </c>
      <c r="S167" s="192" t="str">
        <f t="shared" si="61"/>
        <v>OK</v>
      </c>
    </row>
    <row r="168" spans="2:20" outlineLevel="2">
      <c r="B168" s="63"/>
      <c r="C168" s="63"/>
      <c r="D168" s="63"/>
      <c r="E168" s="16"/>
      <c r="F168" s="16"/>
      <c r="G168" s="16"/>
      <c r="H168" s="16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2:20" outlineLevel="1">
      <c r="B169" s="63"/>
      <c r="C169" s="63"/>
      <c r="D169" s="187" t="s">
        <v>413</v>
      </c>
      <c r="E169" s="16"/>
      <c r="F169" s="16"/>
      <c r="G169" s="16"/>
      <c r="H169" s="16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2:20" ht="15" outlineLevel="2">
      <c r="B170" s="92"/>
      <c r="C170" s="92"/>
      <c r="D170" s="93" t="s">
        <v>45</v>
      </c>
      <c r="E170" s="133">
        <f t="shared" ref="E170:S170" si="62">E5+E12</f>
        <v>31484876.009999998</v>
      </c>
      <c r="F170" s="134">
        <f t="shared" si="62"/>
        <v>31063442.330000002</v>
      </c>
      <c r="G170" s="134">
        <f t="shared" si="62"/>
        <v>35624119.93</v>
      </c>
      <c r="H170" s="135">
        <f t="shared" si="62"/>
        <v>34438420.270000003</v>
      </c>
      <c r="I170" s="94">
        <f t="shared" si="62"/>
        <v>37144207.170000002</v>
      </c>
      <c r="J170" s="95">
        <f t="shared" si="62"/>
        <v>31500000.710000001</v>
      </c>
      <c r="K170" s="95">
        <f t="shared" si="62"/>
        <v>31500000</v>
      </c>
      <c r="L170" s="95">
        <f t="shared" si="62"/>
        <v>31500000</v>
      </c>
      <c r="M170" s="95">
        <f t="shared" si="62"/>
        <v>32000000</v>
      </c>
      <c r="N170" s="95">
        <f t="shared" si="62"/>
        <v>32500000</v>
      </c>
      <c r="O170" s="95">
        <f t="shared" si="62"/>
        <v>33000000</v>
      </c>
      <c r="P170" s="95">
        <f t="shared" si="62"/>
        <v>33500000</v>
      </c>
      <c r="Q170" s="95">
        <f t="shared" si="62"/>
        <v>34000000</v>
      </c>
      <c r="R170" s="95">
        <f t="shared" si="62"/>
        <v>34500000</v>
      </c>
      <c r="S170" s="95">
        <f t="shared" si="62"/>
        <v>35000000</v>
      </c>
      <c r="T170" s="92"/>
    </row>
    <row r="171" spans="2:20" ht="15" outlineLevel="2">
      <c r="B171" s="92"/>
      <c r="C171" s="92"/>
      <c r="D171" s="96" t="s">
        <v>46</v>
      </c>
      <c r="E171" s="136">
        <f t="shared" ref="E171:S171" si="63">E16+E22</f>
        <v>34609335.700000003</v>
      </c>
      <c r="F171" s="137">
        <f t="shared" si="63"/>
        <v>31037203.93</v>
      </c>
      <c r="G171" s="137">
        <f t="shared" si="63"/>
        <v>40495660.859999999</v>
      </c>
      <c r="H171" s="138">
        <f t="shared" si="63"/>
        <v>36384626.189999998</v>
      </c>
      <c r="I171" s="97">
        <f t="shared" si="63"/>
        <v>39751618.390000001</v>
      </c>
      <c r="J171" s="98">
        <f t="shared" si="63"/>
        <v>30561940.549999997</v>
      </c>
      <c r="K171" s="98">
        <f t="shared" si="63"/>
        <v>30284308</v>
      </c>
      <c r="L171" s="98">
        <f t="shared" si="63"/>
        <v>29934304</v>
      </c>
      <c r="M171" s="98">
        <f t="shared" si="63"/>
        <v>30084300</v>
      </c>
      <c r="N171" s="98">
        <f t="shared" si="63"/>
        <v>30821796</v>
      </c>
      <c r="O171" s="98">
        <f t="shared" si="63"/>
        <v>31389996</v>
      </c>
      <c r="P171" s="98">
        <f t="shared" si="63"/>
        <v>31889996</v>
      </c>
      <c r="Q171" s="98">
        <f t="shared" si="63"/>
        <v>32389996</v>
      </c>
      <c r="R171" s="98">
        <f t="shared" si="63"/>
        <v>32849996</v>
      </c>
      <c r="S171" s="98">
        <f t="shared" si="63"/>
        <v>33290000</v>
      </c>
      <c r="T171" s="92"/>
    </row>
    <row r="172" spans="2:20" ht="15" outlineLevel="2">
      <c r="B172" s="92"/>
      <c r="C172" s="92"/>
      <c r="D172" s="96" t="s">
        <v>392</v>
      </c>
      <c r="E172" s="136">
        <f t="shared" ref="E172:S172" si="64">E4-E15</f>
        <v>-3124459.6900000013</v>
      </c>
      <c r="F172" s="137">
        <f t="shared" si="64"/>
        <v>26238.39999999851</v>
      </c>
      <c r="G172" s="137">
        <f t="shared" si="64"/>
        <v>-4871540.93</v>
      </c>
      <c r="H172" s="138">
        <f t="shared" si="64"/>
        <v>-1946205.9199999943</v>
      </c>
      <c r="I172" s="97">
        <f t="shared" si="64"/>
        <v>-2607411.2199999988</v>
      </c>
      <c r="J172" s="98">
        <f t="shared" si="64"/>
        <v>938060.16000000015</v>
      </c>
      <c r="K172" s="98">
        <f t="shared" si="64"/>
        <v>1215692</v>
      </c>
      <c r="L172" s="98">
        <f t="shared" si="64"/>
        <v>1565696</v>
      </c>
      <c r="M172" s="98">
        <f t="shared" si="64"/>
        <v>1915700</v>
      </c>
      <c r="N172" s="98">
        <f t="shared" si="64"/>
        <v>1678204</v>
      </c>
      <c r="O172" s="98">
        <f t="shared" si="64"/>
        <v>1610004</v>
      </c>
      <c r="P172" s="98">
        <f t="shared" si="64"/>
        <v>1610004</v>
      </c>
      <c r="Q172" s="98">
        <f t="shared" si="64"/>
        <v>1610004</v>
      </c>
      <c r="R172" s="98">
        <f t="shared" si="64"/>
        <v>1650004</v>
      </c>
      <c r="S172" s="98">
        <f t="shared" si="64"/>
        <v>1710000</v>
      </c>
      <c r="T172" s="92"/>
    </row>
    <row r="173" spans="2:20" ht="15" outlineLevel="2">
      <c r="B173" s="92"/>
      <c r="C173" s="92"/>
      <c r="D173" s="99" t="s">
        <v>393</v>
      </c>
      <c r="E173" s="217" t="s">
        <v>44</v>
      </c>
      <c r="F173" s="137">
        <f>E38+F29-F34+(F93-E93)+F98</f>
        <v>13906544.860000001</v>
      </c>
      <c r="G173" s="250" t="s">
        <v>44</v>
      </c>
      <c r="H173" s="138">
        <f>F38+H29-H34+(H93-F93)+H98</f>
        <v>15503368.16</v>
      </c>
      <c r="I173" s="97">
        <f t="shared" ref="I173:S173" si="65">H38+I29-I34+(I93-H93)+I98</f>
        <v>15503368.16</v>
      </c>
      <c r="J173" s="98">
        <f t="shared" si="65"/>
        <v>14565308</v>
      </c>
      <c r="K173" s="98">
        <f t="shared" si="65"/>
        <v>13349616</v>
      </c>
      <c r="L173" s="98">
        <f t="shared" si="65"/>
        <v>11783920</v>
      </c>
      <c r="M173" s="98">
        <f t="shared" si="65"/>
        <v>9868220</v>
      </c>
      <c r="N173" s="98">
        <f t="shared" si="65"/>
        <v>8190016</v>
      </c>
      <c r="O173" s="98">
        <f t="shared" si="65"/>
        <v>6580012</v>
      </c>
      <c r="P173" s="98">
        <f t="shared" si="65"/>
        <v>4970008</v>
      </c>
      <c r="Q173" s="98">
        <f t="shared" si="65"/>
        <v>3360004</v>
      </c>
      <c r="R173" s="98">
        <f t="shared" si="65"/>
        <v>1710000</v>
      </c>
      <c r="S173" s="98">
        <f t="shared" si="65"/>
        <v>0</v>
      </c>
      <c r="T173" s="92"/>
    </row>
    <row r="174" spans="2:20" ht="24" outlineLevel="2">
      <c r="B174" s="92"/>
      <c r="C174" s="92"/>
      <c r="D174" s="100" t="s">
        <v>416</v>
      </c>
      <c r="E174" s="189" t="s">
        <v>44</v>
      </c>
      <c r="F174" s="139">
        <f>E84-(F86+F87+F88+F89)</f>
        <v>0</v>
      </c>
      <c r="G174" s="251" t="s">
        <v>44</v>
      </c>
      <c r="H174" s="140">
        <f>F84-(H86+H87+H88+H89)</f>
        <v>0</v>
      </c>
      <c r="I174" s="101">
        <f>H84-(I86+I87+I88+I89)</f>
        <v>0</v>
      </c>
      <c r="J174" s="102">
        <f t="shared" ref="J174:S174" si="66">I84-(J86+J87+J88+J89)</f>
        <v>0</v>
      </c>
      <c r="K174" s="102">
        <f t="shared" si="66"/>
        <v>0</v>
      </c>
      <c r="L174" s="102">
        <f t="shared" si="66"/>
        <v>0</v>
      </c>
      <c r="M174" s="102">
        <f t="shared" si="66"/>
        <v>0</v>
      </c>
      <c r="N174" s="102">
        <f t="shared" si="66"/>
        <v>0</v>
      </c>
      <c r="O174" s="102">
        <f t="shared" si="66"/>
        <v>0</v>
      </c>
      <c r="P174" s="102">
        <f t="shared" si="66"/>
        <v>0</v>
      </c>
      <c r="Q174" s="102">
        <f t="shared" si="66"/>
        <v>0</v>
      </c>
      <c r="R174" s="102">
        <f t="shared" si="66"/>
        <v>0</v>
      </c>
      <c r="S174" s="102">
        <f t="shared" si="66"/>
        <v>0</v>
      </c>
      <c r="T174" s="92"/>
    </row>
    <row r="175" spans="2:20">
      <c r="E175" s="6"/>
      <c r="F175" s="6"/>
      <c r="G175" s="6"/>
      <c r="H175" s="6"/>
    </row>
    <row r="176" spans="2:20" ht="15.75">
      <c r="D176" s="184" t="s">
        <v>47</v>
      </c>
      <c r="E176" s="58"/>
      <c r="F176" s="58"/>
      <c r="G176" s="58"/>
      <c r="H176" s="58"/>
    </row>
    <row r="177" spans="2:20" outlineLevel="1">
      <c r="D177" s="185" t="s">
        <v>52</v>
      </c>
      <c r="E177" s="59"/>
      <c r="F177" s="59"/>
      <c r="G177" s="59"/>
      <c r="H177" s="59"/>
    </row>
    <row r="178" spans="2:20" outlineLevel="2">
      <c r="D178" s="22">
        <v>0</v>
      </c>
      <c r="E178" s="25" t="str">
        <f>+"różnica mniejsza od "&amp;TEXT(D178*100,"0,0")&amp;"%"</f>
        <v>różnica mniejsza od 0,0%</v>
      </c>
      <c r="F178" s="60"/>
      <c r="G178" s="60"/>
      <c r="H178" s="60"/>
      <c r="I178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20" outlineLevel="2">
      <c r="D179" s="23">
        <v>5.0000000000000001E-3</v>
      </c>
      <c r="E179" s="25" t="str">
        <f>+"różnica mniejsza od "&amp;TEXT(D179*100,"0,0")&amp;"%"</f>
        <v>różnica mniejsza od 0,5%</v>
      </c>
      <c r="F179" s="60"/>
      <c r="G179" s="60"/>
      <c r="H179" s="60"/>
      <c r="I179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20" outlineLevel="2">
      <c r="D180" s="24">
        <v>0.01</v>
      </c>
      <c r="E180" s="25" t="str">
        <f>+"różnica mniejsza od "&amp;TEXT(D180*100,"0,0")&amp;"%"</f>
        <v>różnica mniejsza od 1,0%</v>
      </c>
      <c r="F180" s="60"/>
      <c r="G180" s="60"/>
      <c r="H180" s="60"/>
      <c r="I180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20" outlineLevel="2">
      <c r="D181" s="174" t="s">
        <v>402</v>
      </c>
      <c r="E181" s="223" t="s">
        <v>44</v>
      </c>
      <c r="F181" s="224" t="s">
        <v>44</v>
      </c>
      <c r="G181" s="224" t="s">
        <v>44</v>
      </c>
      <c r="H181" s="225" t="s">
        <v>44</v>
      </c>
      <c r="I181" s="175">
        <f t="shared" ref="I181:S181" si="67">+IF(I4=0,"",I55-I50)</f>
        <v>-9.1900000000000009E-2</v>
      </c>
      <c r="J181" s="176">
        <f t="shared" si="67"/>
        <v>-8.9000000000000051E-3</v>
      </c>
      <c r="K181" s="176">
        <f t="shared" si="67"/>
        <v>7.7999999999999944E-3</v>
      </c>
      <c r="L181" s="176">
        <f t="shared" si="67"/>
        <v>3.7000000000000005E-2</v>
      </c>
      <c r="M181" s="176">
        <f t="shared" si="67"/>
        <v>6.1200000000000004E-2</v>
      </c>
      <c r="N181" s="176">
        <f t="shared" si="67"/>
        <v>6.6799999999999998E-2</v>
      </c>
      <c r="O181" s="176">
        <f t="shared" si="67"/>
        <v>6.9500000000000006E-2</v>
      </c>
      <c r="P181" s="176">
        <f t="shared" si="67"/>
        <v>7.2999999999999982E-2</v>
      </c>
      <c r="Q181" s="176">
        <f t="shared" si="67"/>
        <v>7.5099999999999986E-2</v>
      </c>
      <c r="R181" s="176">
        <f t="shared" si="67"/>
        <v>7.6899999999999996E-2</v>
      </c>
      <c r="S181" s="176">
        <f t="shared" si="67"/>
        <v>7.6800000000000007E-2</v>
      </c>
    </row>
    <row r="182" spans="2:20" outlineLevel="2">
      <c r="D182" s="177" t="s">
        <v>403</v>
      </c>
      <c r="E182" s="226" t="s">
        <v>44</v>
      </c>
      <c r="F182" s="227" t="s">
        <v>44</v>
      </c>
      <c r="G182" s="227" t="s">
        <v>44</v>
      </c>
      <c r="H182" s="228" t="s">
        <v>44</v>
      </c>
      <c r="I182" s="178">
        <f t="shared" ref="I182:S182" si="68">+IF(I4=0,"",I55-I51)</f>
        <v>-9.1900000000000009E-2</v>
      </c>
      <c r="J182" s="179">
        <f t="shared" si="68"/>
        <v>-8.9000000000000051E-3</v>
      </c>
      <c r="K182" s="179">
        <f t="shared" si="68"/>
        <v>7.7999999999999944E-3</v>
      </c>
      <c r="L182" s="179">
        <f t="shared" si="68"/>
        <v>3.7000000000000005E-2</v>
      </c>
      <c r="M182" s="179">
        <f t="shared" si="68"/>
        <v>6.1200000000000004E-2</v>
      </c>
      <c r="N182" s="179">
        <f t="shared" si="68"/>
        <v>6.6799999999999998E-2</v>
      </c>
      <c r="O182" s="179">
        <f t="shared" si="68"/>
        <v>6.9500000000000006E-2</v>
      </c>
      <c r="P182" s="179">
        <f t="shared" si="68"/>
        <v>7.2999999999999982E-2</v>
      </c>
      <c r="Q182" s="179">
        <f t="shared" si="68"/>
        <v>7.5099999999999986E-2</v>
      </c>
      <c r="R182" s="179">
        <f t="shared" si="68"/>
        <v>7.6899999999999996E-2</v>
      </c>
      <c r="S182" s="179">
        <f t="shared" si="68"/>
        <v>7.6800000000000007E-2</v>
      </c>
    </row>
    <row r="183" spans="2:20" outlineLevel="2">
      <c r="D183" s="174" t="s">
        <v>404</v>
      </c>
      <c r="E183" s="223" t="s">
        <v>44</v>
      </c>
      <c r="F183" s="224" t="s">
        <v>44</v>
      </c>
      <c r="G183" s="224" t="s">
        <v>44</v>
      </c>
      <c r="H183" s="225" t="s">
        <v>44</v>
      </c>
      <c r="I183" s="175">
        <f t="shared" ref="I183:S183" si="69">+IF(I4=0,"",I56-I50)</f>
        <v>-7.2400000000000006E-2</v>
      </c>
      <c r="J183" s="176">
        <f t="shared" si="69"/>
        <v>1.0599999999999998E-2</v>
      </c>
      <c r="K183" s="176">
        <f t="shared" si="69"/>
        <v>2.7400000000000001E-2</v>
      </c>
      <c r="L183" s="176">
        <f t="shared" si="69"/>
        <v>3.7000000000000005E-2</v>
      </c>
      <c r="M183" s="176">
        <f t="shared" si="69"/>
        <v>6.1200000000000004E-2</v>
      </c>
      <c r="N183" s="176">
        <f t="shared" si="69"/>
        <v>6.6799999999999998E-2</v>
      </c>
      <c r="O183" s="176">
        <f t="shared" si="69"/>
        <v>6.9500000000000006E-2</v>
      </c>
      <c r="P183" s="176">
        <f t="shared" si="69"/>
        <v>7.2999999999999982E-2</v>
      </c>
      <c r="Q183" s="176">
        <f t="shared" si="69"/>
        <v>7.5099999999999986E-2</v>
      </c>
      <c r="R183" s="176">
        <f t="shared" si="69"/>
        <v>7.6899999999999996E-2</v>
      </c>
      <c r="S183" s="176">
        <f t="shared" si="69"/>
        <v>7.6800000000000007E-2</v>
      </c>
    </row>
    <row r="184" spans="2:20" outlineLevel="2">
      <c r="D184" s="177" t="s">
        <v>405</v>
      </c>
      <c r="E184" s="226" t="s">
        <v>44</v>
      </c>
      <c r="F184" s="227" t="s">
        <v>44</v>
      </c>
      <c r="G184" s="227" t="s">
        <v>44</v>
      </c>
      <c r="H184" s="228" t="s">
        <v>44</v>
      </c>
      <c r="I184" s="178">
        <f t="shared" ref="I184:S184" si="70">+IF(I4=0,"",I56-I51)</f>
        <v>-7.2400000000000006E-2</v>
      </c>
      <c r="J184" s="179">
        <f t="shared" si="70"/>
        <v>1.0599999999999998E-2</v>
      </c>
      <c r="K184" s="179">
        <f t="shared" si="70"/>
        <v>2.7400000000000001E-2</v>
      </c>
      <c r="L184" s="179">
        <f t="shared" si="70"/>
        <v>3.7000000000000005E-2</v>
      </c>
      <c r="M184" s="179">
        <f t="shared" si="70"/>
        <v>6.1200000000000004E-2</v>
      </c>
      <c r="N184" s="179">
        <f t="shared" si="70"/>
        <v>6.6799999999999998E-2</v>
      </c>
      <c r="O184" s="179">
        <f t="shared" si="70"/>
        <v>6.9500000000000006E-2</v>
      </c>
      <c r="P184" s="179">
        <f t="shared" si="70"/>
        <v>7.2999999999999982E-2</v>
      </c>
      <c r="Q184" s="179">
        <f t="shared" si="70"/>
        <v>7.5099999999999986E-2</v>
      </c>
      <c r="R184" s="179">
        <f t="shared" si="70"/>
        <v>7.6899999999999996E-2</v>
      </c>
      <c r="S184" s="179">
        <f t="shared" si="70"/>
        <v>7.6800000000000007E-2</v>
      </c>
    </row>
    <row r="185" spans="2:20" outlineLevel="1">
      <c r="D185" s="185" t="s">
        <v>409</v>
      </c>
      <c r="E185" s="59"/>
      <c r="F185" s="59"/>
      <c r="G185" s="59"/>
      <c r="H185" s="5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20" outlineLevel="2">
      <c r="D186" s="19">
        <v>0.05</v>
      </c>
      <c r="E186" s="25" t="str">
        <f>+"zmiana większa niż +/- "&amp;TEXT(D186*100,"0,0")&amp;"%"</f>
        <v>zmiana większa niż +/- 5,0%</v>
      </c>
      <c r="F186" s="61"/>
      <c r="G186" s="61"/>
      <c r="H186" s="61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20" outlineLevel="2">
      <c r="D187" s="20">
        <v>0.1</v>
      </c>
      <c r="E187" s="25" t="str">
        <f>+"zmiana większa niż +/- "&amp;TEXT(D187*100,"0,0")&amp;"%"</f>
        <v>zmiana większa niż +/- 10,0%</v>
      </c>
      <c r="F187" s="61"/>
      <c r="G187" s="61"/>
      <c r="H187" s="61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20" ht="24" outlineLevel="2">
      <c r="D188" s="21">
        <v>0.2</v>
      </c>
      <c r="E188" s="25" t="str">
        <f>+"zmiana większa niż +/- "&amp;TEXT(D188*100,"0,0")&amp;"%"</f>
        <v>zmiana większa niż +/- 20,0%</v>
      </c>
      <c r="F188" s="61"/>
      <c r="G188" s="254" t="s">
        <v>442</v>
      </c>
      <c r="H188" s="254" t="s">
        <v>441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20" outlineLevel="2">
      <c r="B189" s="164"/>
      <c r="C189" s="164"/>
      <c r="D189" s="104" t="s">
        <v>39</v>
      </c>
      <c r="E189" s="229" t="s">
        <v>401</v>
      </c>
      <c r="F189" s="105">
        <f t="shared" ref="F189:S189" si="71">+IF(F4=0,0,IF(E215&lt;&gt;0,F215/E215-1,0))</f>
        <v>-1.3385273610928339E-2</v>
      </c>
      <c r="G189" s="105">
        <f t="shared" si="71"/>
        <v>0.14681816495255129</v>
      </c>
      <c r="H189" s="106">
        <f t="shared" si="71"/>
        <v>-3.3283619702882516E-2</v>
      </c>
      <c r="I189" s="165">
        <f t="shared" si="71"/>
        <v>7.8568844876925503E-2</v>
      </c>
      <c r="J189" s="166">
        <f t="shared" si="71"/>
        <v>-0.15195388164210477</v>
      </c>
      <c r="K189" s="166">
        <f t="shared" si="71"/>
        <v>-2.2539682009714568E-8</v>
      </c>
      <c r="L189" s="166">
        <f t="shared" si="71"/>
        <v>0</v>
      </c>
      <c r="M189" s="166">
        <f t="shared" si="71"/>
        <v>1.5873015873015817E-2</v>
      </c>
      <c r="N189" s="166">
        <f t="shared" si="71"/>
        <v>1.5625E-2</v>
      </c>
      <c r="O189" s="166">
        <f t="shared" si="71"/>
        <v>1.538461538461533E-2</v>
      </c>
      <c r="P189" s="166">
        <f t="shared" si="71"/>
        <v>1.5151515151515138E-2</v>
      </c>
      <c r="Q189" s="166">
        <f t="shared" si="71"/>
        <v>1.4925373134328401E-2</v>
      </c>
      <c r="R189" s="166">
        <f t="shared" si="71"/>
        <v>1.4705882352941124E-2</v>
      </c>
      <c r="S189" s="166">
        <f t="shared" si="71"/>
        <v>1.449275362318847E-2</v>
      </c>
      <c r="T189" s="167"/>
    </row>
    <row r="190" spans="2:20" ht="15" outlineLevel="2">
      <c r="B190" s="103"/>
      <c r="C190" s="103"/>
      <c r="D190" s="107" t="s">
        <v>396</v>
      </c>
      <c r="E190" s="230" t="s">
        <v>401</v>
      </c>
      <c r="F190" s="141">
        <f t="shared" ref="F190:S190" si="72">+IF(F4=0,0,IF(E216&lt;&gt;0,F216/E216-1,0))</f>
        <v>-1.3385273610928339E-2</v>
      </c>
      <c r="G190" s="141">
        <f t="shared" si="72"/>
        <v>0.14681816495255129</v>
      </c>
      <c r="H190" s="142">
        <f t="shared" si="72"/>
        <v>-5.9428557229203038E-2</v>
      </c>
      <c r="I190" s="108">
        <f t="shared" si="72"/>
        <v>-4.2745442527417521E-2</v>
      </c>
      <c r="J190" s="109">
        <f t="shared" si="72"/>
        <v>-2.4859145729723031E-2</v>
      </c>
      <c r="K190" s="109">
        <f t="shared" si="72"/>
        <v>7.1167666525797646E-3</v>
      </c>
      <c r="L190" s="109">
        <f t="shared" si="72"/>
        <v>0</v>
      </c>
      <c r="M190" s="109">
        <f t="shared" si="72"/>
        <v>1.5873015873015817E-2</v>
      </c>
      <c r="N190" s="109">
        <f t="shared" si="72"/>
        <v>1.5625E-2</v>
      </c>
      <c r="O190" s="109">
        <f t="shared" si="72"/>
        <v>1.538461538461533E-2</v>
      </c>
      <c r="P190" s="109">
        <f t="shared" si="72"/>
        <v>1.5151515151515138E-2</v>
      </c>
      <c r="Q190" s="109">
        <f t="shared" si="72"/>
        <v>1.4925373134328401E-2</v>
      </c>
      <c r="R190" s="109">
        <f t="shared" si="72"/>
        <v>1.4705882352941124E-2</v>
      </c>
      <c r="S190" s="109">
        <f t="shared" si="72"/>
        <v>1.449275362318847E-2</v>
      </c>
      <c r="T190" s="92"/>
    </row>
    <row r="191" spans="2:20" ht="15" outlineLevel="2">
      <c r="B191" s="103"/>
      <c r="C191" s="103"/>
      <c r="D191" s="110" t="s">
        <v>397</v>
      </c>
      <c r="E191" s="231" t="s">
        <v>401</v>
      </c>
      <c r="F191" s="143">
        <f t="shared" ref="F191:S191" si="73">+IF(F4=0,0,IF(E217&lt;&gt;0,F217/E217-1,0))</f>
        <v>9.7270634448407334E-2</v>
      </c>
      <c r="G191" s="143">
        <f t="shared" si="73"/>
        <v>5.2907478261852381E-2</v>
      </c>
      <c r="H191" s="144">
        <f t="shared" si="73"/>
        <v>-4.777515524949949E-2</v>
      </c>
      <c r="I191" s="108">
        <f t="shared" si="73"/>
        <v>7.1037097192557574E-2</v>
      </c>
      <c r="J191" s="109">
        <f t="shared" si="73"/>
        <v>2.514944524559759E-2</v>
      </c>
      <c r="K191" s="109">
        <f t="shared" si="73"/>
        <v>7.1167666525797646E-3</v>
      </c>
      <c r="L191" s="109">
        <f t="shared" si="73"/>
        <v>0</v>
      </c>
      <c r="M191" s="109">
        <f t="shared" si="73"/>
        <v>1.5873015873015817E-2</v>
      </c>
      <c r="N191" s="109">
        <f t="shared" si="73"/>
        <v>1.5625E-2</v>
      </c>
      <c r="O191" s="109">
        <f t="shared" si="73"/>
        <v>1.538461538461533E-2</v>
      </c>
      <c r="P191" s="109">
        <f t="shared" si="73"/>
        <v>1.5151515151515138E-2</v>
      </c>
      <c r="Q191" s="109">
        <f t="shared" si="73"/>
        <v>1.4925373134328401E-2</v>
      </c>
      <c r="R191" s="109">
        <f t="shared" si="73"/>
        <v>1.4705882352941124E-2</v>
      </c>
      <c r="S191" s="109">
        <f t="shared" si="73"/>
        <v>1.449275362318847E-2</v>
      </c>
      <c r="T191" s="92"/>
    </row>
    <row r="192" spans="2:20" ht="15" outlineLevel="2">
      <c r="B192" s="103"/>
      <c r="C192" s="103"/>
      <c r="D192" s="110" t="s">
        <v>398</v>
      </c>
      <c r="E192" s="231" t="s">
        <v>401</v>
      </c>
      <c r="F192" s="143">
        <f t="shared" ref="F192:S192" si="74">+IF(F4=0,0,IF(E218&lt;&gt;0,F218/E218-1,0))</f>
        <v>-0.52586146518772714</v>
      </c>
      <c r="G192" s="143">
        <f t="shared" si="74"/>
        <v>1.1533386239627186</v>
      </c>
      <c r="H192" s="144">
        <f t="shared" si="74"/>
        <v>-0.12050000256814741</v>
      </c>
      <c r="I192" s="108">
        <f t="shared" si="74"/>
        <v>-0.68834728353318253</v>
      </c>
      <c r="J192" s="109">
        <f t="shared" si="74"/>
        <v>-1</v>
      </c>
      <c r="K192" s="109">
        <f t="shared" si="74"/>
        <v>0</v>
      </c>
      <c r="L192" s="109">
        <f t="shared" si="74"/>
        <v>0</v>
      </c>
      <c r="M192" s="109">
        <f t="shared" si="74"/>
        <v>0</v>
      </c>
      <c r="N192" s="109">
        <f t="shared" si="74"/>
        <v>0</v>
      </c>
      <c r="O192" s="109">
        <f t="shared" si="74"/>
        <v>0</v>
      </c>
      <c r="P192" s="109">
        <f t="shared" si="74"/>
        <v>0</v>
      </c>
      <c r="Q192" s="109">
        <f t="shared" si="74"/>
        <v>0</v>
      </c>
      <c r="R192" s="109">
        <f t="shared" si="74"/>
        <v>0</v>
      </c>
      <c r="S192" s="109">
        <f t="shared" si="74"/>
        <v>0</v>
      </c>
      <c r="T192" s="92"/>
    </row>
    <row r="193" spans="2:20" ht="24" outlineLevel="2">
      <c r="B193" s="103"/>
      <c r="C193" s="103"/>
      <c r="D193" s="110" t="s">
        <v>399</v>
      </c>
      <c r="E193" s="231" t="s">
        <v>401</v>
      </c>
      <c r="F193" s="143">
        <f t="shared" ref="F193:S193" si="75">+IF(F4=0,0,IF(E219&lt;&gt;0,F219/E219-1,0))</f>
        <v>-0.38293911945032866</v>
      </c>
      <c r="G193" s="143">
        <f t="shared" si="75"/>
        <v>1.1365760684894708</v>
      </c>
      <c r="H193" s="144">
        <f t="shared" si="75"/>
        <v>-0.13332690119064161</v>
      </c>
      <c r="I193" s="108">
        <f t="shared" si="75"/>
        <v>-0.70381238398030121</v>
      </c>
      <c r="J193" s="109">
        <f t="shared" si="75"/>
        <v>-1</v>
      </c>
      <c r="K193" s="109">
        <f t="shared" si="75"/>
        <v>0</v>
      </c>
      <c r="L193" s="109">
        <f t="shared" si="75"/>
        <v>0</v>
      </c>
      <c r="M193" s="109">
        <f t="shared" si="75"/>
        <v>0</v>
      </c>
      <c r="N193" s="109">
        <f t="shared" si="75"/>
        <v>0</v>
      </c>
      <c r="O193" s="109">
        <f t="shared" si="75"/>
        <v>0</v>
      </c>
      <c r="P193" s="109">
        <f t="shared" si="75"/>
        <v>0</v>
      </c>
      <c r="Q193" s="109">
        <f t="shared" si="75"/>
        <v>0</v>
      </c>
      <c r="R193" s="109">
        <f t="shared" si="75"/>
        <v>0</v>
      </c>
      <c r="S193" s="109">
        <f t="shared" si="75"/>
        <v>0</v>
      </c>
      <c r="T193" s="92"/>
    </row>
    <row r="194" spans="2:20" ht="15" outlineLevel="2">
      <c r="B194" s="103"/>
      <c r="C194" s="103"/>
      <c r="D194" s="111" t="s">
        <v>48</v>
      </c>
      <c r="E194" s="232" t="s">
        <v>401</v>
      </c>
      <c r="F194" s="145">
        <f t="shared" ref="F194:S194" si="76">+IF(F4=0,0,IF(E220&lt;&gt;0,F220/E220-1,0))</f>
        <v>-0.98055122157830699</v>
      </c>
      <c r="G194" s="145">
        <f t="shared" si="76"/>
        <v>2.8453019638726191</v>
      </c>
      <c r="H194" s="146">
        <f t="shared" si="76"/>
        <v>0.59888320000000017</v>
      </c>
      <c r="I194" s="112">
        <f t="shared" si="76"/>
        <v>-0.21820430660601098</v>
      </c>
      <c r="J194" s="113">
        <f t="shared" si="76"/>
        <v>-1</v>
      </c>
      <c r="K194" s="113">
        <f t="shared" si="76"/>
        <v>0</v>
      </c>
      <c r="L194" s="113">
        <f t="shared" si="76"/>
        <v>0</v>
      </c>
      <c r="M194" s="113">
        <f t="shared" si="76"/>
        <v>0</v>
      </c>
      <c r="N194" s="113">
        <f t="shared" si="76"/>
        <v>0</v>
      </c>
      <c r="O194" s="113">
        <f t="shared" si="76"/>
        <v>0</v>
      </c>
      <c r="P194" s="113">
        <f t="shared" si="76"/>
        <v>0</v>
      </c>
      <c r="Q194" s="113">
        <f t="shared" si="76"/>
        <v>0</v>
      </c>
      <c r="R194" s="113">
        <f t="shared" si="76"/>
        <v>0</v>
      </c>
      <c r="S194" s="113">
        <f t="shared" si="76"/>
        <v>0</v>
      </c>
      <c r="T194" s="92"/>
    </row>
    <row r="195" spans="2:20" outlineLevel="2">
      <c r="B195" s="164"/>
      <c r="C195" s="164"/>
      <c r="D195" s="104" t="s">
        <v>34</v>
      </c>
      <c r="E195" s="229" t="s">
        <v>401</v>
      </c>
      <c r="F195" s="105">
        <f t="shared" ref="F195:S195" si="77">+IF(F4=0,0,IF(E221&lt;&gt;0,F221/E221-1,0))</f>
        <v>-0.10321295389671414</v>
      </c>
      <c r="G195" s="105">
        <f t="shared" si="77"/>
        <v>0.30474578030070631</v>
      </c>
      <c r="H195" s="106">
        <f t="shared" si="77"/>
        <v>-0.1015179054420795</v>
      </c>
      <c r="I195" s="165">
        <f t="shared" si="77"/>
        <v>9.2538870192526268E-2</v>
      </c>
      <c r="J195" s="166">
        <f t="shared" si="77"/>
        <v>-0.23117745169116877</v>
      </c>
      <c r="K195" s="166">
        <f t="shared" si="77"/>
        <v>-9.0842579039046578E-3</v>
      </c>
      <c r="L195" s="166">
        <f t="shared" si="77"/>
        <v>-1.1557272499011728E-2</v>
      </c>
      <c r="M195" s="166">
        <f t="shared" si="77"/>
        <v>5.0108397375800973E-3</v>
      </c>
      <c r="N195" s="166">
        <f t="shared" si="77"/>
        <v>2.4514314775480939E-2</v>
      </c>
      <c r="O195" s="166">
        <f t="shared" si="77"/>
        <v>1.8435006188477709E-2</v>
      </c>
      <c r="P195" s="166">
        <f t="shared" si="77"/>
        <v>1.5928641723942816E-2</v>
      </c>
      <c r="Q195" s="166">
        <f t="shared" si="77"/>
        <v>1.5678898172329703E-2</v>
      </c>
      <c r="R195" s="166">
        <f t="shared" si="77"/>
        <v>1.4201915924904718E-2</v>
      </c>
      <c r="S195" s="166">
        <f t="shared" si="77"/>
        <v>1.3394339530513166E-2</v>
      </c>
      <c r="T195" s="167"/>
    </row>
    <row r="196" spans="2:20" ht="15" outlineLevel="2">
      <c r="B196" s="103"/>
      <c r="C196" s="103"/>
      <c r="D196" s="114" t="s">
        <v>395</v>
      </c>
      <c r="E196" s="231" t="s">
        <v>401</v>
      </c>
      <c r="F196" s="143">
        <f t="shared" ref="F196:S196" si="78">+IF(F4=0,0,IF(E222&lt;&gt;0,F222/E222-1,0))</f>
        <v>-0.10321295389671414</v>
      </c>
      <c r="G196" s="143">
        <f t="shared" si="78"/>
        <v>0.30474578030070631</v>
      </c>
      <c r="H196" s="144">
        <f t="shared" si="78"/>
        <v>-0.1015179054420795</v>
      </c>
      <c r="I196" s="108">
        <f t="shared" si="78"/>
        <v>1.8059222501524586E-2</v>
      </c>
      <c r="J196" s="109">
        <f t="shared" si="78"/>
        <v>-0.182008333215392</v>
      </c>
      <c r="K196" s="109">
        <f t="shared" si="78"/>
        <v>-5.1146863141249277E-4</v>
      </c>
      <c r="L196" s="109">
        <f t="shared" si="78"/>
        <v>-1.1557272499011728E-2</v>
      </c>
      <c r="M196" s="109">
        <f t="shared" si="78"/>
        <v>5.0108397375800973E-3</v>
      </c>
      <c r="N196" s="109">
        <f t="shared" si="78"/>
        <v>2.4514314775480939E-2</v>
      </c>
      <c r="O196" s="109">
        <f t="shared" si="78"/>
        <v>1.8435006188477709E-2</v>
      </c>
      <c r="P196" s="109">
        <f t="shared" si="78"/>
        <v>1.5928641723942816E-2</v>
      </c>
      <c r="Q196" s="109">
        <f t="shared" si="78"/>
        <v>1.5678898172329703E-2</v>
      </c>
      <c r="R196" s="109">
        <f t="shared" si="78"/>
        <v>1.4201915924904718E-2</v>
      </c>
      <c r="S196" s="109">
        <f t="shared" si="78"/>
        <v>1.3394339530513166E-2</v>
      </c>
      <c r="T196" s="92"/>
    </row>
    <row r="197" spans="2:20" outlineLevel="2">
      <c r="B197" s="164"/>
      <c r="C197" s="164"/>
      <c r="D197" s="115" t="s">
        <v>49</v>
      </c>
      <c r="E197" s="233" t="s">
        <v>401</v>
      </c>
      <c r="F197" s="147">
        <f t="shared" ref="F197:S197" si="79">+IF(F4=0,0,IF(E223&lt;&gt;0,F223/E223-1,0))</f>
        <v>3.6559159667944652E-2</v>
      </c>
      <c r="G197" s="147">
        <f t="shared" si="79"/>
        <v>0.11822943137077679</v>
      </c>
      <c r="H197" s="148">
        <f t="shared" si="79"/>
        <v>-8.3285250897701446E-2</v>
      </c>
      <c r="I197" s="168">
        <f t="shared" si="79"/>
        <v>0.17016489804008161</v>
      </c>
      <c r="J197" s="169">
        <f t="shared" si="79"/>
        <v>-0.14242354024506465</v>
      </c>
      <c r="K197" s="169">
        <f t="shared" si="79"/>
        <v>1.0084657315749368E-2</v>
      </c>
      <c r="L197" s="169">
        <f t="shared" si="79"/>
        <v>9.944751381215422E-3</v>
      </c>
      <c r="M197" s="169">
        <f t="shared" si="79"/>
        <v>1.3493800145878865E-2</v>
      </c>
      <c r="N197" s="169">
        <f t="shared" si="79"/>
        <v>1.5833033465275204E-2</v>
      </c>
      <c r="O197" s="169">
        <f t="shared" si="79"/>
        <v>1.5586255756287581E-2</v>
      </c>
      <c r="P197" s="169">
        <f t="shared" si="79"/>
        <v>1.6393442622950838E-2</v>
      </c>
      <c r="Q197" s="169">
        <f t="shared" si="79"/>
        <v>1.6129032258064502E-2</v>
      </c>
      <c r="R197" s="169">
        <f t="shared" si="79"/>
        <v>1.5197568389057725E-2</v>
      </c>
      <c r="S197" s="169">
        <f t="shared" si="79"/>
        <v>1.6633399866932796E-2</v>
      </c>
      <c r="T197" s="167"/>
    </row>
    <row r="198" spans="2:20" ht="15" outlineLevel="2">
      <c r="B198" s="103"/>
      <c r="C198" s="103"/>
      <c r="D198" s="110" t="s">
        <v>51</v>
      </c>
      <c r="E198" s="231" t="s">
        <v>401</v>
      </c>
      <c r="F198" s="143">
        <f t="shared" ref="F198:S198" si="80">+IF(F4=0,0,IF(E224&lt;&gt;0,F224/E224-1,0))</f>
        <v>3.6559159667944652E-2</v>
      </c>
      <c r="G198" s="143">
        <f t="shared" si="80"/>
        <v>0.11822943137077679</v>
      </c>
      <c r="H198" s="144">
        <f t="shared" si="80"/>
        <v>-8.3285250897701446E-2</v>
      </c>
      <c r="I198" s="108">
        <f t="shared" si="80"/>
        <v>9.6433444019661918E-2</v>
      </c>
      <c r="J198" s="109">
        <f t="shared" si="80"/>
        <v>-9.368028933143302E-2</v>
      </c>
      <c r="K198" s="109">
        <f t="shared" si="80"/>
        <v>2.0032460701511878E-2</v>
      </c>
      <c r="L198" s="109">
        <f t="shared" si="80"/>
        <v>9.944751381215422E-3</v>
      </c>
      <c r="M198" s="109">
        <f t="shared" si="80"/>
        <v>1.3493800145878865E-2</v>
      </c>
      <c r="N198" s="109">
        <f t="shared" si="80"/>
        <v>1.5833033465275204E-2</v>
      </c>
      <c r="O198" s="109">
        <f t="shared" si="80"/>
        <v>1.5586255756287581E-2</v>
      </c>
      <c r="P198" s="109">
        <f t="shared" si="80"/>
        <v>1.6393442622950838E-2</v>
      </c>
      <c r="Q198" s="109">
        <f t="shared" si="80"/>
        <v>1.6129032258064502E-2</v>
      </c>
      <c r="R198" s="109">
        <f t="shared" si="80"/>
        <v>1.5197568389057725E-2</v>
      </c>
      <c r="S198" s="109">
        <f t="shared" si="80"/>
        <v>1.6633399866932796E-2</v>
      </c>
      <c r="T198" s="92"/>
    </row>
    <row r="199" spans="2:20" ht="15" outlineLevel="2">
      <c r="B199" s="103"/>
      <c r="C199" s="103"/>
      <c r="D199" s="110" t="s">
        <v>50</v>
      </c>
      <c r="E199" s="231" t="s">
        <v>401</v>
      </c>
      <c r="F199" s="143">
        <f t="shared" ref="F199:S199" si="81">+IF(F4=0,0,IF(E225&lt;&gt;0,F225/E225-1,0))</f>
        <v>-1</v>
      </c>
      <c r="G199" s="143">
        <f t="shared" si="81"/>
        <v>0</v>
      </c>
      <c r="H199" s="144">
        <f t="shared" si="81"/>
        <v>-1.6080881175560724E-2</v>
      </c>
      <c r="I199" s="108">
        <f t="shared" si="81"/>
        <v>4.7839286545970472E-2</v>
      </c>
      <c r="J199" s="109">
        <f t="shared" si="81"/>
        <v>-1.4404321868841996E-2</v>
      </c>
      <c r="K199" s="109">
        <f t="shared" si="81"/>
        <v>3.2258064516129004E-2</v>
      </c>
      <c r="L199" s="109">
        <f t="shared" si="81"/>
        <v>1.5625E-2</v>
      </c>
      <c r="M199" s="109">
        <f t="shared" si="81"/>
        <v>1.538461538461533E-2</v>
      </c>
      <c r="N199" s="109">
        <f t="shared" si="81"/>
        <v>1.5151515151515138E-2</v>
      </c>
      <c r="O199" s="109">
        <f t="shared" si="81"/>
        <v>1.4925373134328401E-2</v>
      </c>
      <c r="P199" s="109">
        <f t="shared" si="81"/>
        <v>1.4705882352941124E-2</v>
      </c>
      <c r="Q199" s="109">
        <f t="shared" si="81"/>
        <v>1.449275362318847E-2</v>
      </c>
      <c r="R199" s="109">
        <f t="shared" si="81"/>
        <v>1.7928571428571516E-2</v>
      </c>
      <c r="S199" s="109">
        <f t="shared" si="81"/>
        <v>1.7472458073117592E-2</v>
      </c>
      <c r="T199" s="92"/>
    </row>
    <row r="200" spans="2:20" ht="24" outlineLevel="2">
      <c r="B200" s="103"/>
      <c r="C200" s="103"/>
      <c r="D200" s="111" t="s">
        <v>394</v>
      </c>
      <c r="E200" s="234" t="s">
        <v>401</v>
      </c>
      <c r="F200" s="149">
        <f t="shared" ref="F200:S200" si="82">+IF(F4=0,0,IF(E226&lt;&gt;0,F226/E226-1,0))</f>
        <v>0.83489753148047785</v>
      </c>
      <c r="G200" s="149">
        <f t="shared" si="82"/>
        <v>-0.36426559076694032</v>
      </c>
      <c r="H200" s="150">
        <f t="shared" si="82"/>
        <v>-0.13291107872408003</v>
      </c>
      <c r="I200" s="116">
        <f t="shared" si="82"/>
        <v>6.6183214433877868E-2</v>
      </c>
      <c r="J200" s="117">
        <f t="shared" si="82"/>
        <v>-0.27800482879340804</v>
      </c>
      <c r="K200" s="117">
        <f t="shared" si="82"/>
        <v>-1.7269087944678296E-2</v>
      </c>
      <c r="L200" s="117">
        <f t="shared" si="82"/>
        <v>2.4572346659106348E-3</v>
      </c>
      <c r="M200" s="117">
        <f t="shared" si="82"/>
        <v>1.310455359668139E-2</v>
      </c>
      <c r="N200" s="117">
        <f t="shared" si="82"/>
        <v>1.9356039456541962E-2</v>
      </c>
      <c r="O200" s="117">
        <f t="shared" si="82"/>
        <v>1.8623333941939046E-2</v>
      </c>
      <c r="P200" s="117">
        <f t="shared" si="82"/>
        <v>2.1061122064886195E-2</v>
      </c>
      <c r="Q200" s="117">
        <f t="shared" si="82"/>
        <v>2.027560782936888E-2</v>
      </c>
      <c r="R200" s="117">
        <f t="shared" si="82"/>
        <v>1.7033723331039141E-2</v>
      </c>
      <c r="S200" s="117">
        <f t="shared" si="82"/>
        <v>1.7763491794958508E-2</v>
      </c>
      <c r="T200" s="92"/>
    </row>
    <row r="201" spans="2:20" ht="24" outlineLevel="1">
      <c r="B201" s="103"/>
      <c r="C201" s="103"/>
      <c r="D201" s="185" t="s">
        <v>410</v>
      </c>
      <c r="E201" s="118"/>
      <c r="F201" s="118"/>
      <c r="G201" s="253" t="s">
        <v>440</v>
      </c>
      <c r="H201" s="253" t="s">
        <v>439</v>
      </c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92"/>
    </row>
    <row r="202" spans="2:20" outlineLevel="2">
      <c r="B202" s="164"/>
      <c r="C202" s="164"/>
      <c r="D202" s="104" t="s">
        <v>39</v>
      </c>
      <c r="E202" s="235" t="s">
        <v>401</v>
      </c>
      <c r="F202" s="151">
        <f t="shared" ref="F202:F207" si="83">+IF(F$215=0,"",F215-E215)</f>
        <v>-421433.68000000343</v>
      </c>
      <c r="G202" s="151">
        <f t="shared" ref="G202:G207" si="84">+IF(G$215=0,"",G215-F215)</f>
        <v>4560677.6000000015</v>
      </c>
      <c r="H202" s="152">
        <f t="shared" ref="H202:H207" si="85">+IF(H$215=0,"",H215-G215)</f>
        <v>-1185699.6599999964</v>
      </c>
      <c r="I202" s="170">
        <f t="shared" ref="I202:S202" si="86">+IF(I$215=0,"",I215-H215)</f>
        <v>2705786.8999999985</v>
      </c>
      <c r="J202" s="171">
        <f t="shared" si="86"/>
        <v>-5644206.4600000009</v>
      </c>
      <c r="K202" s="171">
        <f t="shared" si="86"/>
        <v>-0.71000000089406967</v>
      </c>
      <c r="L202" s="171">
        <f t="shared" si="86"/>
        <v>0</v>
      </c>
      <c r="M202" s="171">
        <f t="shared" si="86"/>
        <v>500000</v>
      </c>
      <c r="N202" s="171">
        <f t="shared" si="86"/>
        <v>500000</v>
      </c>
      <c r="O202" s="171">
        <f t="shared" si="86"/>
        <v>500000</v>
      </c>
      <c r="P202" s="171">
        <f t="shared" si="86"/>
        <v>500000</v>
      </c>
      <c r="Q202" s="171">
        <f t="shared" si="86"/>
        <v>500000</v>
      </c>
      <c r="R202" s="171">
        <f t="shared" si="86"/>
        <v>500000</v>
      </c>
      <c r="S202" s="171">
        <f t="shared" si="86"/>
        <v>500000</v>
      </c>
      <c r="T202" s="167"/>
    </row>
    <row r="203" spans="2:20" ht="15" outlineLevel="2">
      <c r="B203" s="103"/>
      <c r="C203" s="103"/>
      <c r="D203" s="107" t="s">
        <v>396</v>
      </c>
      <c r="E203" s="236" t="s">
        <v>401</v>
      </c>
      <c r="F203" s="156">
        <f t="shared" si="83"/>
        <v>-421433.68000000343</v>
      </c>
      <c r="G203" s="156">
        <f t="shared" si="84"/>
        <v>4560677.6000000015</v>
      </c>
      <c r="H203" s="157">
        <f t="shared" si="85"/>
        <v>-2117090.049999997</v>
      </c>
      <c r="I203" s="123">
        <f t="shared" ref="I203:S203" si="87">+IF(I$215=0,"",I216-H216)</f>
        <v>-1432272.8200000003</v>
      </c>
      <c r="J203" s="124">
        <f t="shared" si="87"/>
        <v>-797351.06000000238</v>
      </c>
      <c r="K203" s="124">
        <f t="shared" si="87"/>
        <v>222594</v>
      </c>
      <c r="L203" s="124">
        <f t="shared" si="87"/>
        <v>0</v>
      </c>
      <c r="M203" s="124">
        <f t="shared" si="87"/>
        <v>500000</v>
      </c>
      <c r="N203" s="124">
        <f t="shared" si="87"/>
        <v>500000</v>
      </c>
      <c r="O203" s="124">
        <f t="shared" si="87"/>
        <v>500000</v>
      </c>
      <c r="P203" s="124">
        <f t="shared" si="87"/>
        <v>500000</v>
      </c>
      <c r="Q203" s="124">
        <f t="shared" si="87"/>
        <v>500000</v>
      </c>
      <c r="R203" s="124">
        <f t="shared" si="87"/>
        <v>500000</v>
      </c>
      <c r="S203" s="124">
        <f t="shared" si="87"/>
        <v>500000</v>
      </c>
      <c r="T203" s="92"/>
    </row>
    <row r="204" spans="2:20" ht="15" outlineLevel="2">
      <c r="B204" s="103"/>
      <c r="C204" s="103"/>
      <c r="D204" s="110" t="s">
        <v>397</v>
      </c>
      <c r="E204" s="237" t="s">
        <v>401</v>
      </c>
      <c r="F204" s="158">
        <f t="shared" si="83"/>
        <v>2518705.0100000016</v>
      </c>
      <c r="G204" s="158">
        <f t="shared" si="84"/>
        <v>1503233.2599999979</v>
      </c>
      <c r="H204" s="159">
        <f t="shared" si="85"/>
        <v>-1429228.379999999</v>
      </c>
      <c r="I204" s="123">
        <f t="shared" ref="I204:S204" si="88">+IF(I$215=0,"",I217-H217)</f>
        <v>2023597.9899999984</v>
      </c>
      <c r="J204" s="124">
        <f t="shared" si="88"/>
        <v>767311.94000000134</v>
      </c>
      <c r="K204" s="124">
        <f t="shared" si="88"/>
        <v>222594</v>
      </c>
      <c r="L204" s="124">
        <f t="shared" si="88"/>
        <v>0</v>
      </c>
      <c r="M204" s="124">
        <f t="shared" si="88"/>
        <v>500000</v>
      </c>
      <c r="N204" s="124">
        <f t="shared" si="88"/>
        <v>500000</v>
      </c>
      <c r="O204" s="124">
        <f t="shared" si="88"/>
        <v>500000</v>
      </c>
      <c r="P204" s="124">
        <f t="shared" si="88"/>
        <v>500000</v>
      </c>
      <c r="Q204" s="124">
        <f t="shared" si="88"/>
        <v>500000</v>
      </c>
      <c r="R204" s="124">
        <f t="shared" si="88"/>
        <v>500000</v>
      </c>
      <c r="S204" s="124">
        <f t="shared" si="88"/>
        <v>500000</v>
      </c>
      <c r="T204" s="92"/>
    </row>
    <row r="205" spans="2:20" ht="15" outlineLevel="2">
      <c r="B205" s="103"/>
      <c r="C205" s="103"/>
      <c r="D205" s="110" t="s">
        <v>398</v>
      </c>
      <c r="E205" s="237" t="s">
        <v>401</v>
      </c>
      <c r="F205" s="158">
        <f t="shared" si="83"/>
        <v>-2940138.69</v>
      </c>
      <c r="G205" s="158">
        <f t="shared" si="84"/>
        <v>3057444.3400000003</v>
      </c>
      <c r="H205" s="159">
        <f t="shared" si="85"/>
        <v>-687861.67000000086</v>
      </c>
      <c r="I205" s="123">
        <f t="shared" ref="I205:S205" si="89">+IF(I$215=0,"",I218-H218)</f>
        <v>-3455870.8099999991</v>
      </c>
      <c r="J205" s="124">
        <f t="shared" si="89"/>
        <v>-1564663.0000000005</v>
      </c>
      <c r="K205" s="124">
        <f t="shared" si="89"/>
        <v>0</v>
      </c>
      <c r="L205" s="124">
        <f t="shared" si="89"/>
        <v>0</v>
      </c>
      <c r="M205" s="124">
        <f t="shared" si="89"/>
        <v>0</v>
      </c>
      <c r="N205" s="124">
        <f t="shared" si="89"/>
        <v>0</v>
      </c>
      <c r="O205" s="124">
        <f t="shared" si="89"/>
        <v>0</v>
      </c>
      <c r="P205" s="124">
        <f t="shared" si="89"/>
        <v>0</v>
      </c>
      <c r="Q205" s="124">
        <f t="shared" si="89"/>
        <v>0</v>
      </c>
      <c r="R205" s="124">
        <f t="shared" si="89"/>
        <v>0</v>
      </c>
      <c r="S205" s="124">
        <f t="shared" si="89"/>
        <v>0</v>
      </c>
      <c r="T205" s="92"/>
    </row>
    <row r="206" spans="2:20" ht="24" outlineLevel="2">
      <c r="B206" s="103"/>
      <c r="C206" s="103"/>
      <c r="D206" s="110" t="s">
        <v>399</v>
      </c>
      <c r="E206" s="237" t="s">
        <v>401</v>
      </c>
      <c r="F206" s="158">
        <f t="shared" si="83"/>
        <v>-1629003.4</v>
      </c>
      <c r="G206" s="158">
        <f t="shared" si="84"/>
        <v>2983450.1</v>
      </c>
      <c r="H206" s="159">
        <f t="shared" si="85"/>
        <v>-747749.99000000115</v>
      </c>
      <c r="I206" s="123">
        <f t="shared" ref="I206:S206" si="90">+IF(I$215=0,"",I219-H219)</f>
        <v>-3420982.4899999988</v>
      </c>
      <c r="J206" s="124">
        <f t="shared" si="90"/>
        <v>-1439663.0000000005</v>
      </c>
      <c r="K206" s="124">
        <f t="shared" si="90"/>
        <v>0</v>
      </c>
      <c r="L206" s="124">
        <f t="shared" si="90"/>
        <v>0</v>
      </c>
      <c r="M206" s="124">
        <f t="shared" si="90"/>
        <v>0</v>
      </c>
      <c r="N206" s="124">
        <f t="shared" si="90"/>
        <v>0</v>
      </c>
      <c r="O206" s="124">
        <f t="shared" si="90"/>
        <v>0</v>
      </c>
      <c r="P206" s="124">
        <f t="shared" si="90"/>
        <v>0</v>
      </c>
      <c r="Q206" s="124">
        <f t="shared" si="90"/>
        <v>0</v>
      </c>
      <c r="R206" s="124">
        <f t="shared" si="90"/>
        <v>0</v>
      </c>
      <c r="S206" s="124">
        <f t="shared" si="90"/>
        <v>0</v>
      </c>
      <c r="T206" s="92"/>
    </row>
    <row r="207" spans="2:20" ht="15" outlineLevel="2">
      <c r="B207" s="103"/>
      <c r="C207" s="103"/>
      <c r="D207" s="111" t="s">
        <v>48</v>
      </c>
      <c r="E207" s="238" t="s">
        <v>401</v>
      </c>
      <c r="F207" s="160">
        <f t="shared" si="83"/>
        <v>-1311135.29</v>
      </c>
      <c r="G207" s="160">
        <f t="shared" si="84"/>
        <v>73994.240000000005</v>
      </c>
      <c r="H207" s="161">
        <f t="shared" si="85"/>
        <v>59888.320000000007</v>
      </c>
      <c r="I207" s="125">
        <f t="shared" ref="I207:S207" si="91">+IF(I$215=0,"",I220-H220)</f>
        <v>-34888.320000000007</v>
      </c>
      <c r="J207" s="126">
        <f t="shared" si="91"/>
        <v>-125000</v>
      </c>
      <c r="K207" s="126">
        <f t="shared" si="91"/>
        <v>0</v>
      </c>
      <c r="L207" s="126">
        <f t="shared" si="91"/>
        <v>0</v>
      </c>
      <c r="M207" s="126">
        <f t="shared" si="91"/>
        <v>0</v>
      </c>
      <c r="N207" s="126">
        <f t="shared" si="91"/>
        <v>0</v>
      </c>
      <c r="O207" s="126">
        <f t="shared" si="91"/>
        <v>0</v>
      </c>
      <c r="P207" s="126">
        <f t="shared" si="91"/>
        <v>0</v>
      </c>
      <c r="Q207" s="126">
        <f t="shared" si="91"/>
        <v>0</v>
      </c>
      <c r="R207" s="126">
        <f t="shared" si="91"/>
        <v>0</v>
      </c>
      <c r="S207" s="126">
        <f t="shared" si="91"/>
        <v>0</v>
      </c>
      <c r="T207" s="92"/>
    </row>
    <row r="208" spans="2:20" outlineLevel="2">
      <c r="B208" s="164"/>
      <c r="C208" s="164"/>
      <c r="D208" s="104" t="s">
        <v>34</v>
      </c>
      <c r="E208" s="235" t="s">
        <v>401</v>
      </c>
      <c r="F208" s="151">
        <f t="shared" ref="F208:F213" si="92">+IF(F$221=0,"",F221-E221)</f>
        <v>-3572131.7700000033</v>
      </c>
      <c r="G208" s="151">
        <f t="shared" ref="G208:G213" si="93">+IF(G$221=0,"",G221-F221)</f>
        <v>9458456.9299999997</v>
      </c>
      <c r="H208" s="152">
        <f t="shared" ref="H208:H213" si="94">+IF(H$221=0,"",H221-G221)</f>
        <v>-4111034.6700000018</v>
      </c>
      <c r="I208" s="170">
        <f t="shared" ref="I208:I213" si="95">+IF(I$221=0,"",I221-H221)</f>
        <v>3366992.200000003</v>
      </c>
      <c r="J208" s="171">
        <f t="shared" ref="J208:S213" si="96">+IF(J$221=0,"",J221-I221)</f>
        <v>-9189677.8399999999</v>
      </c>
      <c r="K208" s="171">
        <f t="shared" si="96"/>
        <v>-277632.55000000075</v>
      </c>
      <c r="L208" s="171">
        <f t="shared" si="96"/>
        <v>-350004</v>
      </c>
      <c r="M208" s="171">
        <f t="shared" si="96"/>
        <v>149996</v>
      </c>
      <c r="N208" s="171">
        <f t="shared" si="96"/>
        <v>737496</v>
      </c>
      <c r="O208" s="171">
        <f t="shared" si="96"/>
        <v>568200</v>
      </c>
      <c r="P208" s="171">
        <f t="shared" si="96"/>
        <v>500000</v>
      </c>
      <c r="Q208" s="171">
        <f t="shared" si="96"/>
        <v>500000</v>
      </c>
      <c r="R208" s="171">
        <f t="shared" si="96"/>
        <v>460000</v>
      </c>
      <c r="S208" s="171">
        <f t="shared" si="96"/>
        <v>440004</v>
      </c>
      <c r="T208" s="167"/>
    </row>
    <row r="209" spans="2:20" ht="15" outlineLevel="2">
      <c r="B209" s="103"/>
      <c r="C209" s="103"/>
      <c r="D209" s="114" t="s">
        <v>395</v>
      </c>
      <c r="E209" s="237" t="s">
        <v>401</v>
      </c>
      <c r="F209" s="158">
        <f t="shared" si="92"/>
        <v>-3572131.7700000033</v>
      </c>
      <c r="G209" s="158">
        <f t="shared" si="93"/>
        <v>9458456.9299999997</v>
      </c>
      <c r="H209" s="159">
        <f t="shared" si="94"/>
        <v>-4111034.6700000018</v>
      </c>
      <c r="I209" s="123">
        <f t="shared" si="95"/>
        <v>657078.06000000983</v>
      </c>
      <c r="J209" s="124">
        <f t="shared" ref="J209:S209" si="97">+IF(J$221=0,"",J222-I222)</f>
        <v>-6741898.8500000052</v>
      </c>
      <c r="K209" s="124">
        <f t="shared" si="97"/>
        <v>-15497.400000002235</v>
      </c>
      <c r="L209" s="124">
        <f t="shared" si="97"/>
        <v>-350004</v>
      </c>
      <c r="M209" s="124">
        <f t="shared" si="97"/>
        <v>149996</v>
      </c>
      <c r="N209" s="124">
        <f t="shared" si="97"/>
        <v>737496</v>
      </c>
      <c r="O209" s="124">
        <f t="shared" si="97"/>
        <v>568200</v>
      </c>
      <c r="P209" s="124">
        <f t="shared" si="97"/>
        <v>500000</v>
      </c>
      <c r="Q209" s="124">
        <f t="shared" si="97"/>
        <v>500000</v>
      </c>
      <c r="R209" s="124">
        <f t="shared" si="97"/>
        <v>460000</v>
      </c>
      <c r="S209" s="124">
        <f t="shared" si="97"/>
        <v>440004</v>
      </c>
      <c r="T209" s="92"/>
    </row>
    <row r="210" spans="2:20" outlineLevel="2">
      <c r="B210" s="164"/>
      <c r="C210" s="164"/>
      <c r="D210" s="115" t="s">
        <v>49</v>
      </c>
      <c r="E210" s="239" t="s">
        <v>401</v>
      </c>
      <c r="F210" s="162">
        <f t="shared" si="92"/>
        <v>921571.67000000179</v>
      </c>
      <c r="G210" s="162">
        <f t="shared" si="93"/>
        <v>3089246.8000000007</v>
      </c>
      <c r="H210" s="163">
        <f t="shared" si="94"/>
        <v>-2433470.1400000006</v>
      </c>
      <c r="I210" s="172">
        <f t="shared" si="95"/>
        <v>4557871.9499999993</v>
      </c>
      <c r="J210" s="173">
        <f t="shared" si="96"/>
        <v>-4463967.1000000015</v>
      </c>
      <c r="K210" s="173">
        <f t="shared" si="96"/>
        <v>271064.85000000149</v>
      </c>
      <c r="L210" s="173">
        <f t="shared" si="96"/>
        <v>270000</v>
      </c>
      <c r="M210" s="173">
        <f t="shared" si="96"/>
        <v>370000</v>
      </c>
      <c r="N210" s="173">
        <f t="shared" si="96"/>
        <v>440000</v>
      </c>
      <c r="O210" s="173">
        <f t="shared" si="96"/>
        <v>440000</v>
      </c>
      <c r="P210" s="173">
        <f t="shared" si="96"/>
        <v>470000</v>
      </c>
      <c r="Q210" s="173">
        <f t="shared" si="96"/>
        <v>470000</v>
      </c>
      <c r="R210" s="173">
        <f t="shared" si="96"/>
        <v>450000</v>
      </c>
      <c r="S210" s="173">
        <f t="shared" si="96"/>
        <v>500000</v>
      </c>
      <c r="T210" s="167"/>
    </row>
    <row r="211" spans="2:20" ht="15" outlineLevel="2">
      <c r="B211" s="103"/>
      <c r="C211" s="103"/>
      <c r="D211" s="110" t="s">
        <v>51</v>
      </c>
      <c r="E211" s="237" t="s">
        <v>401</v>
      </c>
      <c r="F211" s="158">
        <f t="shared" si="92"/>
        <v>921571.67000000179</v>
      </c>
      <c r="G211" s="158">
        <f t="shared" si="93"/>
        <v>3089246.8000000007</v>
      </c>
      <c r="H211" s="159">
        <f t="shared" si="94"/>
        <v>-2433470.1400000006</v>
      </c>
      <c r="I211" s="123">
        <f t="shared" si="95"/>
        <v>2582972.7199999988</v>
      </c>
      <c r="J211" s="124">
        <f t="shared" si="96"/>
        <v>-2751203.0199999996</v>
      </c>
      <c r="K211" s="124">
        <f t="shared" si="96"/>
        <v>533200</v>
      </c>
      <c r="L211" s="124">
        <f t="shared" si="96"/>
        <v>270000</v>
      </c>
      <c r="M211" s="124">
        <f t="shared" si="96"/>
        <v>370000</v>
      </c>
      <c r="N211" s="124">
        <f t="shared" si="96"/>
        <v>440000</v>
      </c>
      <c r="O211" s="124">
        <f t="shared" si="96"/>
        <v>440000</v>
      </c>
      <c r="P211" s="124">
        <f t="shared" si="96"/>
        <v>470000</v>
      </c>
      <c r="Q211" s="124">
        <f t="shared" si="96"/>
        <v>470000</v>
      </c>
      <c r="R211" s="124">
        <f t="shared" si="96"/>
        <v>450000</v>
      </c>
      <c r="S211" s="124">
        <f t="shared" si="96"/>
        <v>500000</v>
      </c>
      <c r="T211" s="92"/>
    </row>
    <row r="212" spans="2:20" ht="15" outlineLevel="2">
      <c r="B212" s="103"/>
      <c r="C212" s="103"/>
      <c r="D212" s="110" t="s">
        <v>50</v>
      </c>
      <c r="E212" s="237" t="s">
        <v>401</v>
      </c>
      <c r="F212" s="158">
        <f t="shared" si="92"/>
        <v>-10915139.42</v>
      </c>
      <c r="G212" s="158">
        <f t="shared" si="93"/>
        <v>12203062</v>
      </c>
      <c r="H212" s="159">
        <f t="shared" si="94"/>
        <v>-196235.99000000022</v>
      </c>
      <c r="I212" s="123">
        <f t="shared" si="95"/>
        <v>574397.99000000022</v>
      </c>
      <c r="J212" s="124">
        <f t="shared" si="96"/>
        <v>-181224</v>
      </c>
      <c r="K212" s="124">
        <f t="shared" si="96"/>
        <v>400000</v>
      </c>
      <c r="L212" s="124">
        <f t="shared" si="96"/>
        <v>200000</v>
      </c>
      <c r="M212" s="124">
        <f t="shared" si="96"/>
        <v>200000</v>
      </c>
      <c r="N212" s="124">
        <f t="shared" si="96"/>
        <v>200000</v>
      </c>
      <c r="O212" s="124">
        <f t="shared" si="96"/>
        <v>200000</v>
      </c>
      <c r="P212" s="124">
        <f t="shared" si="96"/>
        <v>200000</v>
      </c>
      <c r="Q212" s="124">
        <f t="shared" si="96"/>
        <v>200000</v>
      </c>
      <c r="R212" s="124">
        <f t="shared" si="96"/>
        <v>251000</v>
      </c>
      <c r="S212" s="124">
        <f t="shared" si="96"/>
        <v>249000</v>
      </c>
      <c r="T212" s="92"/>
    </row>
    <row r="213" spans="2:20" ht="24" outlineLevel="2">
      <c r="B213" s="103"/>
      <c r="C213" s="103"/>
      <c r="D213" s="111" t="s">
        <v>394</v>
      </c>
      <c r="E213" s="238" t="s">
        <v>401</v>
      </c>
      <c r="F213" s="160">
        <f t="shared" si="92"/>
        <v>11545373.000000002</v>
      </c>
      <c r="G213" s="160">
        <f t="shared" si="93"/>
        <v>-9242825.5599999987</v>
      </c>
      <c r="H213" s="161">
        <f t="shared" si="94"/>
        <v>-2143993.7200000007</v>
      </c>
      <c r="I213" s="125">
        <f t="shared" si="95"/>
        <v>925707.58000000007</v>
      </c>
      <c r="J213" s="126">
        <f t="shared" si="96"/>
        <v>-4145817.1500000022</v>
      </c>
      <c r="K213" s="126">
        <f t="shared" si="96"/>
        <v>-185935.14999999851</v>
      </c>
      <c r="L213" s="126">
        <f t="shared" si="96"/>
        <v>26000</v>
      </c>
      <c r="M213" s="126">
        <f t="shared" si="96"/>
        <v>139000</v>
      </c>
      <c r="N213" s="126">
        <f t="shared" si="96"/>
        <v>208000</v>
      </c>
      <c r="O213" s="126">
        <f t="shared" si="96"/>
        <v>204000</v>
      </c>
      <c r="P213" s="126">
        <f t="shared" si="96"/>
        <v>235000</v>
      </c>
      <c r="Q213" s="126">
        <f t="shared" si="96"/>
        <v>231000</v>
      </c>
      <c r="R213" s="126">
        <f t="shared" si="96"/>
        <v>198000</v>
      </c>
      <c r="S213" s="126">
        <f t="shared" si="96"/>
        <v>210000</v>
      </c>
      <c r="T213" s="92"/>
    </row>
    <row r="214" spans="2:20" ht="15" outlineLevel="1">
      <c r="B214" s="103"/>
      <c r="C214" s="103"/>
      <c r="D214" s="185" t="s">
        <v>412</v>
      </c>
      <c r="E214" s="118"/>
      <c r="F214" s="118"/>
      <c r="G214" s="118"/>
      <c r="H214" s="118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92"/>
    </row>
    <row r="215" spans="2:20" outlineLevel="2">
      <c r="B215" s="164"/>
      <c r="C215" s="164"/>
      <c r="D215" s="104" t="s">
        <v>39</v>
      </c>
      <c r="E215" s="120">
        <f>+E4</f>
        <v>31484876.010000002</v>
      </c>
      <c r="F215" s="121">
        <f>+F4</f>
        <v>31063442.329999998</v>
      </c>
      <c r="G215" s="121">
        <f>+G4</f>
        <v>35624119.93</v>
      </c>
      <c r="H215" s="122">
        <f>+H4</f>
        <v>34438420.270000003</v>
      </c>
      <c r="I215" s="170">
        <f t="shared" ref="I215:S215" si="98">+I4</f>
        <v>37144207.170000002</v>
      </c>
      <c r="J215" s="171">
        <f t="shared" si="98"/>
        <v>31500000.710000001</v>
      </c>
      <c r="K215" s="171">
        <f t="shared" si="98"/>
        <v>31500000</v>
      </c>
      <c r="L215" s="171">
        <f t="shared" si="98"/>
        <v>31500000</v>
      </c>
      <c r="M215" s="171">
        <f t="shared" si="98"/>
        <v>32000000</v>
      </c>
      <c r="N215" s="171">
        <f t="shared" si="98"/>
        <v>32500000</v>
      </c>
      <c r="O215" s="171">
        <f t="shared" si="98"/>
        <v>33000000</v>
      </c>
      <c r="P215" s="171">
        <f t="shared" si="98"/>
        <v>33500000</v>
      </c>
      <c r="Q215" s="171">
        <f t="shared" si="98"/>
        <v>34000000</v>
      </c>
      <c r="R215" s="171">
        <f t="shared" si="98"/>
        <v>34500000</v>
      </c>
      <c r="S215" s="171">
        <f t="shared" si="98"/>
        <v>35000000</v>
      </c>
      <c r="T215" s="167"/>
    </row>
    <row r="216" spans="2:20" ht="15" outlineLevel="2">
      <c r="B216" s="103"/>
      <c r="C216" s="103"/>
      <c r="D216" s="107" t="s">
        <v>396</v>
      </c>
      <c r="E216" s="127">
        <f>+(E4-E71-E74)</f>
        <v>31484876.010000002</v>
      </c>
      <c r="F216" s="128">
        <f>+(F4-F71-F74)</f>
        <v>31063442.329999998</v>
      </c>
      <c r="G216" s="128">
        <f>+(G4-G71-G74)</f>
        <v>35624119.93</v>
      </c>
      <c r="H216" s="129">
        <f>+(H4-H71-H74)</f>
        <v>33507029.880000003</v>
      </c>
      <c r="I216" s="123">
        <f>+(I4-I71-I74)</f>
        <v>32074757.060000002</v>
      </c>
      <c r="J216" s="124">
        <f t="shared" ref="J216:S216" si="99">+(J4-J71-J74)</f>
        <v>31277406</v>
      </c>
      <c r="K216" s="124">
        <f t="shared" si="99"/>
        <v>31500000</v>
      </c>
      <c r="L216" s="124">
        <f t="shared" si="99"/>
        <v>31500000</v>
      </c>
      <c r="M216" s="124">
        <f t="shared" si="99"/>
        <v>32000000</v>
      </c>
      <c r="N216" s="124">
        <f t="shared" si="99"/>
        <v>32500000</v>
      </c>
      <c r="O216" s="124">
        <f t="shared" si="99"/>
        <v>33000000</v>
      </c>
      <c r="P216" s="124">
        <f t="shared" si="99"/>
        <v>33500000</v>
      </c>
      <c r="Q216" s="124">
        <f t="shared" si="99"/>
        <v>34000000</v>
      </c>
      <c r="R216" s="124">
        <f t="shared" si="99"/>
        <v>34500000</v>
      </c>
      <c r="S216" s="124">
        <f t="shared" si="99"/>
        <v>35000000</v>
      </c>
      <c r="T216" s="92"/>
    </row>
    <row r="217" spans="2:20" ht="15" outlineLevel="2">
      <c r="B217" s="103"/>
      <c r="C217" s="103"/>
      <c r="D217" s="110" t="s">
        <v>397</v>
      </c>
      <c r="E217" s="127">
        <f>+E5-E71</f>
        <v>25893786.18</v>
      </c>
      <c r="F217" s="128">
        <f>+F5-F71</f>
        <v>28412491.190000001</v>
      </c>
      <c r="G217" s="128">
        <f>+G5-G71</f>
        <v>29915724.449999999</v>
      </c>
      <c r="H217" s="129">
        <f>+H5-H71</f>
        <v>28486496.07</v>
      </c>
      <c r="I217" s="123">
        <f>+I5-I71</f>
        <v>30510094.059999999</v>
      </c>
      <c r="J217" s="124">
        <f t="shared" ref="J217:S217" si="100">+J5-J71</f>
        <v>31277406</v>
      </c>
      <c r="K217" s="124">
        <f t="shared" si="100"/>
        <v>31500000</v>
      </c>
      <c r="L217" s="124">
        <f t="shared" si="100"/>
        <v>31500000</v>
      </c>
      <c r="M217" s="124">
        <f t="shared" si="100"/>
        <v>32000000</v>
      </c>
      <c r="N217" s="124">
        <f t="shared" si="100"/>
        <v>32500000</v>
      </c>
      <c r="O217" s="124">
        <f t="shared" si="100"/>
        <v>33000000</v>
      </c>
      <c r="P217" s="124">
        <f t="shared" si="100"/>
        <v>33500000</v>
      </c>
      <c r="Q217" s="124">
        <f t="shared" si="100"/>
        <v>34000000</v>
      </c>
      <c r="R217" s="124">
        <f t="shared" si="100"/>
        <v>34500000</v>
      </c>
      <c r="S217" s="124">
        <f t="shared" si="100"/>
        <v>35000000</v>
      </c>
      <c r="T217" s="92"/>
    </row>
    <row r="218" spans="2:20" ht="15" outlineLevel="2">
      <c r="B218" s="103"/>
      <c r="C218" s="103"/>
      <c r="D218" s="110" t="s">
        <v>398</v>
      </c>
      <c r="E218" s="127">
        <f>+E12-E74</f>
        <v>5591089.8300000001</v>
      </c>
      <c r="F218" s="128">
        <f>+F12-F74</f>
        <v>2650951.14</v>
      </c>
      <c r="G218" s="128">
        <f>+G12-G74</f>
        <v>5708395.4800000004</v>
      </c>
      <c r="H218" s="129">
        <f>+H12-H74</f>
        <v>5020533.8099999996</v>
      </c>
      <c r="I218" s="123">
        <f>+I12-I74</f>
        <v>1564663.0000000005</v>
      </c>
      <c r="J218" s="124">
        <f t="shared" ref="J218:S218" si="101">+J12-J74</f>
        <v>0</v>
      </c>
      <c r="K218" s="124">
        <f t="shared" si="101"/>
        <v>0</v>
      </c>
      <c r="L218" s="124">
        <f t="shared" si="101"/>
        <v>0</v>
      </c>
      <c r="M218" s="124">
        <f t="shared" si="101"/>
        <v>0</v>
      </c>
      <c r="N218" s="124">
        <f t="shared" si="101"/>
        <v>0</v>
      </c>
      <c r="O218" s="124">
        <f t="shared" si="101"/>
        <v>0</v>
      </c>
      <c r="P218" s="124">
        <f t="shared" si="101"/>
        <v>0</v>
      </c>
      <c r="Q218" s="124">
        <f t="shared" si="101"/>
        <v>0</v>
      </c>
      <c r="R218" s="124">
        <f t="shared" si="101"/>
        <v>0</v>
      </c>
      <c r="S218" s="124">
        <f t="shared" si="101"/>
        <v>0</v>
      </c>
      <c r="T218" s="92"/>
    </row>
    <row r="219" spans="2:20" ht="24" outlineLevel="2">
      <c r="B219" s="103"/>
      <c r="C219" s="103"/>
      <c r="D219" s="110" t="s">
        <v>399</v>
      </c>
      <c r="E219" s="127">
        <f>+E12-E74-E13</f>
        <v>4253948.78</v>
      </c>
      <c r="F219" s="128">
        <f>+F12-F74-F13</f>
        <v>2624945.3800000004</v>
      </c>
      <c r="G219" s="128">
        <f>+G12-G74-G13</f>
        <v>5608395.4800000004</v>
      </c>
      <c r="H219" s="129">
        <f>+H12-H74-H13</f>
        <v>4860645.4899999993</v>
      </c>
      <c r="I219" s="123">
        <f>+I12-I74-I13</f>
        <v>1439663.0000000005</v>
      </c>
      <c r="J219" s="124">
        <f t="shared" ref="J219:S219" si="102">+J12-J74-J13</f>
        <v>0</v>
      </c>
      <c r="K219" s="124">
        <f t="shared" si="102"/>
        <v>0</v>
      </c>
      <c r="L219" s="124">
        <f t="shared" si="102"/>
        <v>0</v>
      </c>
      <c r="M219" s="124">
        <f t="shared" si="102"/>
        <v>0</v>
      </c>
      <c r="N219" s="124">
        <f t="shared" si="102"/>
        <v>0</v>
      </c>
      <c r="O219" s="124">
        <f t="shared" si="102"/>
        <v>0</v>
      </c>
      <c r="P219" s="124">
        <f t="shared" si="102"/>
        <v>0</v>
      </c>
      <c r="Q219" s="124">
        <f t="shared" si="102"/>
        <v>0</v>
      </c>
      <c r="R219" s="124">
        <f t="shared" si="102"/>
        <v>0</v>
      </c>
      <c r="S219" s="124">
        <f t="shared" si="102"/>
        <v>0</v>
      </c>
      <c r="T219" s="92"/>
    </row>
    <row r="220" spans="2:20" ht="15" outlineLevel="2">
      <c r="B220" s="103"/>
      <c r="C220" s="103"/>
      <c r="D220" s="111" t="s">
        <v>48</v>
      </c>
      <c r="E220" s="130">
        <f>+E13</f>
        <v>1337141.05</v>
      </c>
      <c r="F220" s="131">
        <f>+F13</f>
        <v>26005.759999999998</v>
      </c>
      <c r="G220" s="131">
        <f>+G13</f>
        <v>100000</v>
      </c>
      <c r="H220" s="132">
        <f>+H13</f>
        <v>159888.32000000001</v>
      </c>
      <c r="I220" s="125">
        <f>+I13</f>
        <v>125000</v>
      </c>
      <c r="J220" s="126">
        <f t="shared" ref="J220:S220" si="103">+J13</f>
        <v>0</v>
      </c>
      <c r="K220" s="126">
        <f t="shared" si="103"/>
        <v>0</v>
      </c>
      <c r="L220" s="126">
        <f t="shared" si="103"/>
        <v>0</v>
      </c>
      <c r="M220" s="126">
        <f t="shared" si="103"/>
        <v>0</v>
      </c>
      <c r="N220" s="126">
        <f t="shared" si="103"/>
        <v>0</v>
      </c>
      <c r="O220" s="126">
        <f t="shared" si="103"/>
        <v>0</v>
      </c>
      <c r="P220" s="126">
        <f t="shared" si="103"/>
        <v>0</v>
      </c>
      <c r="Q220" s="126">
        <f t="shared" si="103"/>
        <v>0</v>
      </c>
      <c r="R220" s="126">
        <f t="shared" si="103"/>
        <v>0</v>
      </c>
      <c r="S220" s="126">
        <f t="shared" si="103"/>
        <v>0</v>
      </c>
      <c r="T220" s="92"/>
    </row>
    <row r="221" spans="2:20" outlineLevel="2">
      <c r="B221" s="164"/>
      <c r="C221" s="164"/>
      <c r="D221" s="104" t="s">
        <v>34</v>
      </c>
      <c r="E221" s="120">
        <f>+E15</f>
        <v>34609335.700000003</v>
      </c>
      <c r="F221" s="121">
        <f>+F15</f>
        <v>31037203.93</v>
      </c>
      <c r="G221" s="121">
        <f>+G15</f>
        <v>40495660.859999999</v>
      </c>
      <c r="H221" s="122">
        <f>+H15</f>
        <v>36384626.189999998</v>
      </c>
      <c r="I221" s="170">
        <f>+I15</f>
        <v>39751618.390000001</v>
      </c>
      <c r="J221" s="171">
        <f t="shared" ref="J221:S221" si="104">+J15</f>
        <v>30561940.550000001</v>
      </c>
      <c r="K221" s="171">
        <f t="shared" si="104"/>
        <v>30284308</v>
      </c>
      <c r="L221" s="171">
        <f t="shared" si="104"/>
        <v>29934304</v>
      </c>
      <c r="M221" s="171">
        <f t="shared" si="104"/>
        <v>30084300</v>
      </c>
      <c r="N221" s="171">
        <f t="shared" si="104"/>
        <v>30821796</v>
      </c>
      <c r="O221" s="171">
        <f t="shared" si="104"/>
        <v>31389996</v>
      </c>
      <c r="P221" s="171">
        <f t="shared" si="104"/>
        <v>31889996</v>
      </c>
      <c r="Q221" s="171">
        <f t="shared" si="104"/>
        <v>32389996</v>
      </c>
      <c r="R221" s="171">
        <f t="shared" si="104"/>
        <v>32849996</v>
      </c>
      <c r="S221" s="171">
        <f t="shared" si="104"/>
        <v>33290000</v>
      </c>
      <c r="T221" s="167"/>
    </row>
    <row r="222" spans="2:20" ht="15" outlineLevel="2">
      <c r="B222" s="103"/>
      <c r="C222" s="103"/>
      <c r="D222" s="114" t="s">
        <v>395</v>
      </c>
      <c r="E222" s="127">
        <f>+E15-E77-E80</f>
        <v>34609335.700000003</v>
      </c>
      <c r="F222" s="128">
        <f>+F15-F77-F80</f>
        <v>31037203.93</v>
      </c>
      <c r="G222" s="128">
        <f>+G15-G77-G80</f>
        <v>40495660.859999999</v>
      </c>
      <c r="H222" s="129">
        <f>+H15-H77-H80</f>
        <v>36384626.189999998</v>
      </c>
      <c r="I222" s="123">
        <f>+I15-I77-I80</f>
        <v>37041704.250000007</v>
      </c>
      <c r="J222" s="124">
        <f t="shared" ref="J222:S222" si="105">+J15-J77-J80</f>
        <v>30299805.400000002</v>
      </c>
      <c r="K222" s="124">
        <f t="shared" si="105"/>
        <v>30284308</v>
      </c>
      <c r="L222" s="124">
        <f t="shared" si="105"/>
        <v>29934304</v>
      </c>
      <c r="M222" s="124">
        <f t="shared" si="105"/>
        <v>30084300</v>
      </c>
      <c r="N222" s="124">
        <f t="shared" si="105"/>
        <v>30821796</v>
      </c>
      <c r="O222" s="124">
        <f t="shared" si="105"/>
        <v>31389996</v>
      </c>
      <c r="P222" s="124">
        <f t="shared" si="105"/>
        <v>31889996</v>
      </c>
      <c r="Q222" s="124">
        <f t="shared" si="105"/>
        <v>32389996</v>
      </c>
      <c r="R222" s="124">
        <f t="shared" si="105"/>
        <v>32849996</v>
      </c>
      <c r="S222" s="124">
        <f t="shared" si="105"/>
        <v>33290000</v>
      </c>
      <c r="T222" s="92"/>
    </row>
    <row r="223" spans="2:20" outlineLevel="2">
      <c r="B223" s="164"/>
      <c r="C223" s="164"/>
      <c r="D223" s="115" t="s">
        <v>49</v>
      </c>
      <c r="E223" s="153">
        <f>+E16</f>
        <v>25207681.969999999</v>
      </c>
      <c r="F223" s="154">
        <f>+F16</f>
        <v>26129253.640000001</v>
      </c>
      <c r="G223" s="154">
        <f>+G16</f>
        <v>29218500.440000001</v>
      </c>
      <c r="H223" s="155">
        <f>+H16</f>
        <v>26785030.300000001</v>
      </c>
      <c r="I223" s="172">
        <f>+I16</f>
        <v>31342902.25</v>
      </c>
      <c r="J223" s="173">
        <f t="shared" ref="J223:S223" si="106">+J16</f>
        <v>26878935.149999999</v>
      </c>
      <c r="K223" s="173">
        <f t="shared" si="106"/>
        <v>27150000</v>
      </c>
      <c r="L223" s="173">
        <f t="shared" si="106"/>
        <v>27420000</v>
      </c>
      <c r="M223" s="173">
        <f t="shared" si="106"/>
        <v>27790000</v>
      </c>
      <c r="N223" s="173">
        <f t="shared" si="106"/>
        <v>28230000</v>
      </c>
      <c r="O223" s="173">
        <f t="shared" si="106"/>
        <v>28670000</v>
      </c>
      <c r="P223" s="173">
        <f t="shared" si="106"/>
        <v>29140000</v>
      </c>
      <c r="Q223" s="173">
        <f t="shared" si="106"/>
        <v>29610000</v>
      </c>
      <c r="R223" s="173">
        <f t="shared" si="106"/>
        <v>30060000</v>
      </c>
      <c r="S223" s="173">
        <f t="shared" si="106"/>
        <v>30560000</v>
      </c>
      <c r="T223" s="167"/>
    </row>
    <row r="224" spans="2:20" ht="15" outlineLevel="2">
      <c r="B224" s="103"/>
      <c r="C224" s="103"/>
      <c r="D224" s="110" t="s">
        <v>51</v>
      </c>
      <c r="E224" s="127">
        <f>+E16-E77</f>
        <v>25207681.969999999</v>
      </c>
      <c r="F224" s="128">
        <f>+F16-F77</f>
        <v>26129253.640000001</v>
      </c>
      <c r="G224" s="128">
        <f>+G16-G77</f>
        <v>29218500.440000001</v>
      </c>
      <c r="H224" s="129">
        <f>+H16-H77</f>
        <v>26785030.300000001</v>
      </c>
      <c r="I224" s="123">
        <f>+I16-I77</f>
        <v>29368003.02</v>
      </c>
      <c r="J224" s="124">
        <f t="shared" ref="J224:S224" si="107">+J16-J77</f>
        <v>26616800</v>
      </c>
      <c r="K224" s="124">
        <f t="shared" si="107"/>
        <v>27150000</v>
      </c>
      <c r="L224" s="124">
        <f t="shared" si="107"/>
        <v>27420000</v>
      </c>
      <c r="M224" s="124">
        <f t="shared" si="107"/>
        <v>27790000</v>
      </c>
      <c r="N224" s="124">
        <f t="shared" si="107"/>
        <v>28230000</v>
      </c>
      <c r="O224" s="124">
        <f t="shared" si="107"/>
        <v>28670000</v>
      </c>
      <c r="P224" s="124">
        <f t="shared" si="107"/>
        <v>29140000</v>
      </c>
      <c r="Q224" s="124">
        <f t="shared" si="107"/>
        <v>29610000</v>
      </c>
      <c r="R224" s="124">
        <f t="shared" si="107"/>
        <v>30060000</v>
      </c>
      <c r="S224" s="124">
        <f t="shared" si="107"/>
        <v>30560000</v>
      </c>
      <c r="T224" s="92"/>
    </row>
    <row r="225" spans="1:20" ht="15" outlineLevel="2">
      <c r="B225" s="103"/>
      <c r="C225" s="103"/>
      <c r="D225" s="110" t="s">
        <v>50</v>
      </c>
      <c r="E225" s="127">
        <f>+E62</f>
        <v>10915139.42</v>
      </c>
      <c r="F225" s="128">
        <f>+F62</f>
        <v>0</v>
      </c>
      <c r="G225" s="128">
        <f>+G62</f>
        <v>12203062</v>
      </c>
      <c r="H225" s="129">
        <f>+H62</f>
        <v>12006826.01</v>
      </c>
      <c r="I225" s="123">
        <f>+I62</f>
        <v>12581224</v>
      </c>
      <c r="J225" s="124">
        <f t="shared" ref="J225:S225" si="108">+J62</f>
        <v>12400000</v>
      </c>
      <c r="K225" s="124">
        <f t="shared" si="108"/>
        <v>12800000</v>
      </c>
      <c r="L225" s="124">
        <f t="shared" si="108"/>
        <v>13000000</v>
      </c>
      <c r="M225" s="124">
        <f t="shared" si="108"/>
        <v>13200000</v>
      </c>
      <c r="N225" s="124">
        <f t="shared" si="108"/>
        <v>13400000</v>
      </c>
      <c r="O225" s="124">
        <f t="shared" si="108"/>
        <v>13600000</v>
      </c>
      <c r="P225" s="124">
        <f t="shared" si="108"/>
        <v>13800000</v>
      </c>
      <c r="Q225" s="124">
        <f t="shared" si="108"/>
        <v>14000000</v>
      </c>
      <c r="R225" s="124">
        <f t="shared" si="108"/>
        <v>14251000</v>
      </c>
      <c r="S225" s="124">
        <f t="shared" si="108"/>
        <v>14500000</v>
      </c>
      <c r="T225" s="92"/>
    </row>
    <row r="226" spans="1:20" ht="24" outlineLevel="2">
      <c r="B226" s="103"/>
      <c r="C226" s="103"/>
      <c r="D226" s="111" t="s">
        <v>394</v>
      </c>
      <c r="E226" s="130">
        <f>+E16-E17-E20-E62-E63</f>
        <v>13828490.999999998</v>
      </c>
      <c r="F226" s="131">
        <f>+F16-F17-F20-F62-F63</f>
        <v>25373864</v>
      </c>
      <c r="G226" s="131">
        <f>+G16-G17-G20-G62-G63</f>
        <v>16131038.440000001</v>
      </c>
      <c r="H226" s="132">
        <f>+H16-H17-H20-H62-H63</f>
        <v>13987044.720000001</v>
      </c>
      <c r="I226" s="125">
        <f>+I16-I17-I20-I62-I63</f>
        <v>14912752.300000001</v>
      </c>
      <c r="J226" s="126">
        <f t="shared" ref="J226:S226" si="109">+J16-J17-J20-J62-J63</f>
        <v>10766935.149999999</v>
      </c>
      <c r="K226" s="126">
        <f t="shared" si="109"/>
        <v>10581000</v>
      </c>
      <c r="L226" s="126">
        <f t="shared" si="109"/>
        <v>10607000</v>
      </c>
      <c r="M226" s="126">
        <f t="shared" si="109"/>
        <v>10746000</v>
      </c>
      <c r="N226" s="126">
        <f t="shared" si="109"/>
        <v>10954000</v>
      </c>
      <c r="O226" s="126">
        <f t="shared" si="109"/>
        <v>11158000</v>
      </c>
      <c r="P226" s="126">
        <f t="shared" si="109"/>
        <v>11393000</v>
      </c>
      <c r="Q226" s="126">
        <f t="shared" si="109"/>
        <v>11624000</v>
      </c>
      <c r="R226" s="126">
        <f t="shared" si="109"/>
        <v>11822000</v>
      </c>
      <c r="S226" s="126">
        <f t="shared" si="109"/>
        <v>12032000</v>
      </c>
      <c r="T226" s="92"/>
    </row>
    <row r="227" spans="1:20" outlineLevel="2">
      <c r="D227" s="17"/>
      <c r="E227" s="62"/>
      <c r="F227" s="62"/>
      <c r="G227" s="62"/>
      <c r="H227" s="62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1:20">
      <c r="D228" s="185" t="s">
        <v>411</v>
      </c>
      <c r="E228" s="59"/>
      <c r="F228" s="59"/>
      <c r="G228" s="255" t="s">
        <v>437</v>
      </c>
      <c r="H228" s="255" t="s">
        <v>438</v>
      </c>
    </row>
    <row r="229" spans="1:20" ht="15" customHeight="1" outlineLevel="1">
      <c r="A229" s="218" t="s">
        <v>44</v>
      </c>
      <c r="B229" s="33">
        <v>1</v>
      </c>
      <c r="C229" s="219" t="s">
        <v>39</v>
      </c>
      <c r="D229" s="203" t="s">
        <v>39</v>
      </c>
      <c r="E229" s="256" t="s">
        <v>44</v>
      </c>
      <c r="F229" s="257">
        <f t="shared" ref="F229:G248" si="110">+IF(ISNONTEXT(E4),IF(E4&lt;&gt;0,F4/E4-1,""),"")</f>
        <v>-1.3385273610928339E-2</v>
      </c>
      <c r="G229" s="257">
        <f t="shared" si="110"/>
        <v>0.14681816495255129</v>
      </c>
      <c r="H229" s="258">
        <f t="shared" ref="H229:H271" si="111">+IF(ISNONTEXT(F4),IF(F4&lt;&gt;0,H4/F4-1,""),"")</f>
        <v>0.10864790528191293</v>
      </c>
      <c r="I229" s="259">
        <f t="shared" ref="I229:S229" si="112">+IF(ISNONTEXT(H4),IF(H4&lt;&gt;0,I4/H4-1,""),"")</f>
        <v>7.8568844876925503E-2</v>
      </c>
      <c r="J229" s="260">
        <f t="shared" si="112"/>
        <v>-0.15195388164210477</v>
      </c>
      <c r="K229" s="260">
        <f t="shared" si="112"/>
        <v>-2.2539682009714568E-8</v>
      </c>
      <c r="L229" s="260">
        <f t="shared" si="112"/>
        <v>0</v>
      </c>
      <c r="M229" s="260">
        <f t="shared" si="112"/>
        <v>1.5873015873015817E-2</v>
      </c>
      <c r="N229" s="260">
        <f t="shared" si="112"/>
        <v>1.5625E-2</v>
      </c>
      <c r="O229" s="260">
        <f t="shared" si="112"/>
        <v>1.538461538461533E-2</v>
      </c>
      <c r="P229" s="260">
        <f t="shared" si="112"/>
        <v>1.5151515151515138E-2</v>
      </c>
      <c r="Q229" s="260">
        <f t="shared" si="112"/>
        <v>1.4925373134328401E-2</v>
      </c>
      <c r="R229" s="260">
        <f t="shared" si="112"/>
        <v>1.4705882352941124E-2</v>
      </c>
      <c r="S229" s="260">
        <f t="shared" si="112"/>
        <v>1.449275362318847E-2</v>
      </c>
      <c r="T229" s="31"/>
    </row>
    <row r="230" spans="1:20" ht="15" customHeight="1" outlineLevel="2">
      <c r="A230" s="218" t="s">
        <v>44</v>
      </c>
      <c r="B230" s="34" t="s">
        <v>174</v>
      </c>
      <c r="C230" s="204" t="s">
        <v>444</v>
      </c>
      <c r="D230" s="205" t="s">
        <v>236</v>
      </c>
      <c r="E230" s="261" t="s">
        <v>44</v>
      </c>
      <c r="F230" s="262">
        <f t="shared" si="110"/>
        <v>9.7270634448407334E-2</v>
      </c>
      <c r="G230" s="262">
        <f t="shared" si="110"/>
        <v>5.2907478261852381E-2</v>
      </c>
      <c r="H230" s="263">
        <f t="shared" si="111"/>
        <v>3.5385678196139914E-2</v>
      </c>
      <c r="I230" s="264">
        <f t="shared" ref="I230:S230" si="113">+IF(ISNONTEXT(H5),IF(H5&lt;&gt;0,I5/H5-1,""),"")</f>
        <v>0.10374563632060463</v>
      </c>
      <c r="J230" s="265">
        <f t="shared" si="113"/>
        <v>-2.9869638680199873E-2</v>
      </c>
      <c r="K230" s="265">
        <f t="shared" si="113"/>
        <v>-2.2539682009714568E-8</v>
      </c>
      <c r="L230" s="265">
        <f t="shared" si="113"/>
        <v>0</v>
      </c>
      <c r="M230" s="265">
        <f t="shared" si="113"/>
        <v>1.5873015873015817E-2</v>
      </c>
      <c r="N230" s="265">
        <f t="shared" si="113"/>
        <v>1.5625E-2</v>
      </c>
      <c r="O230" s="265">
        <f t="shared" si="113"/>
        <v>1.538461538461533E-2</v>
      </c>
      <c r="P230" s="265">
        <f t="shared" si="113"/>
        <v>1.5151515151515138E-2</v>
      </c>
      <c r="Q230" s="265">
        <f t="shared" si="113"/>
        <v>1.4925373134328401E-2</v>
      </c>
      <c r="R230" s="265">
        <f t="shared" si="113"/>
        <v>1.4705882352941124E-2</v>
      </c>
      <c r="S230" s="265">
        <f t="shared" si="113"/>
        <v>1.449275362318847E-2</v>
      </c>
    </row>
    <row r="231" spans="1:20" ht="15" customHeight="1" outlineLevel="3">
      <c r="B231" s="34" t="s">
        <v>54</v>
      </c>
      <c r="C231" s="204" t="s">
        <v>225</v>
      </c>
      <c r="D231" s="206" t="s">
        <v>225</v>
      </c>
      <c r="E231" s="261" t="s">
        <v>44</v>
      </c>
      <c r="F231" s="262" t="str">
        <f t="shared" si="110"/>
        <v/>
      </c>
      <c r="G231" s="262" t="str">
        <f t="shared" si="110"/>
        <v/>
      </c>
      <c r="H231" s="263" t="str">
        <f t="shared" si="111"/>
        <v/>
      </c>
      <c r="I231" s="264" t="str">
        <f t="shared" ref="I231:S231" si="114">+IF(ISNONTEXT(H6),IF(H6&lt;&gt;0,I6/H6-1,""),"")</f>
        <v/>
      </c>
      <c r="J231" s="265">
        <f t="shared" si="114"/>
        <v>4.4776119402984982E-2</v>
      </c>
      <c r="K231" s="265">
        <f t="shared" si="114"/>
        <v>4.2857142857142927E-2</v>
      </c>
      <c r="L231" s="265">
        <f t="shared" si="114"/>
        <v>4.1095890410958846E-2</v>
      </c>
      <c r="M231" s="265">
        <f t="shared" si="114"/>
        <v>3.9473684210526327E-2</v>
      </c>
      <c r="N231" s="265">
        <f t="shared" si="114"/>
        <v>3.7974683544303778E-2</v>
      </c>
      <c r="O231" s="265">
        <f t="shared" si="114"/>
        <v>3.6585365853658569E-2</v>
      </c>
      <c r="P231" s="265">
        <f t="shared" si="114"/>
        <v>3.529411764705892E-2</v>
      </c>
      <c r="Q231" s="265">
        <f t="shared" si="114"/>
        <v>3.4090909090909172E-2</v>
      </c>
      <c r="R231" s="265">
        <f t="shared" si="114"/>
        <v>3.2967032967033072E-2</v>
      </c>
      <c r="S231" s="265">
        <f t="shared" si="114"/>
        <v>3.1914893617021267E-2</v>
      </c>
    </row>
    <row r="232" spans="1:20" ht="15" customHeight="1" outlineLevel="3">
      <c r="B232" s="34" t="s">
        <v>56</v>
      </c>
      <c r="C232" s="204" t="s">
        <v>226</v>
      </c>
      <c r="D232" s="206" t="s">
        <v>226</v>
      </c>
      <c r="E232" s="261" t="s">
        <v>44</v>
      </c>
      <c r="F232" s="262" t="str">
        <f t="shared" si="110"/>
        <v/>
      </c>
      <c r="G232" s="262" t="str">
        <f t="shared" si="110"/>
        <v/>
      </c>
      <c r="H232" s="263" t="str">
        <f t="shared" si="111"/>
        <v/>
      </c>
      <c r="I232" s="264" t="str">
        <f t="shared" ref="I232:S232" si="115">+IF(ISNONTEXT(H7),IF(H7&lt;&gt;0,I7/H7-1,""),"")</f>
        <v/>
      </c>
      <c r="J232" s="265">
        <f t="shared" si="115"/>
        <v>0</v>
      </c>
      <c r="K232" s="265">
        <f t="shared" si="115"/>
        <v>4.1666666666666741E-2</v>
      </c>
      <c r="L232" s="265">
        <f t="shared" si="115"/>
        <v>4.0000000000000036E-2</v>
      </c>
      <c r="M232" s="265">
        <f t="shared" si="115"/>
        <v>7.6923076923076872E-2</v>
      </c>
      <c r="N232" s="265">
        <f t="shared" si="115"/>
        <v>7.1428571428571397E-2</v>
      </c>
      <c r="O232" s="265">
        <f t="shared" si="115"/>
        <v>6.6666666666666652E-2</v>
      </c>
      <c r="P232" s="265">
        <f t="shared" si="115"/>
        <v>6.25E-2</v>
      </c>
      <c r="Q232" s="265">
        <f t="shared" si="115"/>
        <v>5.8823529411764719E-2</v>
      </c>
      <c r="R232" s="265">
        <f t="shared" si="115"/>
        <v>5.555555555555558E-2</v>
      </c>
      <c r="S232" s="265">
        <f t="shared" si="115"/>
        <v>5.2631578947368363E-2</v>
      </c>
    </row>
    <row r="233" spans="1:20" ht="15" customHeight="1" outlineLevel="3">
      <c r="B233" s="34" t="s">
        <v>58</v>
      </c>
      <c r="C233" s="204" t="s">
        <v>230</v>
      </c>
      <c r="D233" s="206" t="s">
        <v>230</v>
      </c>
      <c r="E233" s="261" t="s">
        <v>44</v>
      </c>
      <c r="F233" s="262" t="str">
        <f t="shared" si="110"/>
        <v/>
      </c>
      <c r="G233" s="262" t="str">
        <f t="shared" si="110"/>
        <v/>
      </c>
      <c r="H233" s="263" t="str">
        <f t="shared" si="111"/>
        <v/>
      </c>
      <c r="I233" s="264" t="str">
        <f t="shared" ref="I233:S233" si="116">+IF(ISNONTEXT(H8),IF(H8&lt;&gt;0,I8/H8-1,""),"")</f>
        <v/>
      </c>
      <c r="J233" s="265">
        <f t="shared" si="116"/>
        <v>7.6234415677230105E-2</v>
      </c>
      <c r="K233" s="265">
        <f t="shared" si="116"/>
        <v>2.3809523809523725E-2</v>
      </c>
      <c r="L233" s="265">
        <f t="shared" si="116"/>
        <v>2.3255813953488413E-2</v>
      </c>
      <c r="M233" s="265">
        <f t="shared" si="116"/>
        <v>2.2727272727272707E-2</v>
      </c>
      <c r="N233" s="265">
        <f t="shared" si="116"/>
        <v>2.2222222222222143E-2</v>
      </c>
      <c r="O233" s="265">
        <f t="shared" si="116"/>
        <v>2.1739130434782705E-2</v>
      </c>
      <c r="P233" s="265">
        <f t="shared" si="116"/>
        <v>2.1276595744680771E-2</v>
      </c>
      <c r="Q233" s="265">
        <f t="shared" si="116"/>
        <v>2.0833333333333259E-2</v>
      </c>
      <c r="R233" s="265">
        <f t="shared" si="116"/>
        <v>2.0408163265306145E-2</v>
      </c>
      <c r="S233" s="265">
        <f t="shared" si="116"/>
        <v>2.0000000000000018E-2</v>
      </c>
    </row>
    <row r="234" spans="1:20" ht="15" customHeight="1" outlineLevel="3">
      <c r="B234" s="34" t="s">
        <v>60</v>
      </c>
      <c r="C234" s="204" t="s">
        <v>227</v>
      </c>
      <c r="D234" s="207" t="s">
        <v>227</v>
      </c>
      <c r="E234" s="261" t="s">
        <v>44</v>
      </c>
      <c r="F234" s="262" t="str">
        <f t="shared" si="110"/>
        <v/>
      </c>
      <c r="G234" s="262" t="str">
        <f t="shared" si="110"/>
        <v/>
      </c>
      <c r="H234" s="263" t="str">
        <f t="shared" si="111"/>
        <v/>
      </c>
      <c r="I234" s="264" t="str">
        <f t="shared" ref="I234:S234" si="117">+IF(ISNONTEXT(H9),IF(H9&lt;&gt;0,I9/H9-1,""),"")</f>
        <v/>
      </c>
      <c r="J234" s="265">
        <f t="shared" si="117"/>
        <v>4.7614537376240884E-2</v>
      </c>
      <c r="K234" s="265">
        <f t="shared" si="117"/>
        <v>5.1282051282051322E-2</v>
      </c>
      <c r="L234" s="265">
        <f t="shared" si="117"/>
        <v>4.8780487804878092E-2</v>
      </c>
      <c r="M234" s="265">
        <f t="shared" si="117"/>
        <v>4.6511627906976827E-2</v>
      </c>
      <c r="N234" s="265">
        <f t="shared" si="117"/>
        <v>4.4444444444444509E-2</v>
      </c>
      <c r="O234" s="265">
        <f t="shared" si="117"/>
        <v>4.2553191489361764E-2</v>
      </c>
      <c r="P234" s="265">
        <f t="shared" si="117"/>
        <v>4.081632653061229E-2</v>
      </c>
      <c r="Q234" s="265">
        <f t="shared" si="117"/>
        <v>3.9215686274509887E-2</v>
      </c>
      <c r="R234" s="265">
        <f t="shared" si="117"/>
        <v>3.7735849056603765E-2</v>
      </c>
      <c r="S234" s="265">
        <f t="shared" si="117"/>
        <v>3.6363636363636376E-2</v>
      </c>
    </row>
    <row r="235" spans="1:20" ht="15" customHeight="1" outlineLevel="3">
      <c r="B235" s="34" t="s">
        <v>62</v>
      </c>
      <c r="C235" s="204" t="s">
        <v>228</v>
      </c>
      <c r="D235" s="206" t="s">
        <v>228</v>
      </c>
      <c r="E235" s="261" t="s">
        <v>44</v>
      </c>
      <c r="F235" s="262" t="str">
        <f t="shared" si="110"/>
        <v/>
      </c>
      <c r="G235" s="262" t="str">
        <f t="shared" si="110"/>
        <v/>
      </c>
      <c r="H235" s="263" t="str">
        <f t="shared" si="111"/>
        <v/>
      </c>
      <c r="I235" s="264" t="str">
        <f t="shared" ref="I235:S235" si="118">+IF(ISNONTEXT(H10),IF(H10&lt;&gt;0,I10/H10-1,""),"")</f>
        <v/>
      </c>
      <c r="J235" s="265">
        <f t="shared" si="118"/>
        <v>7.1459375885628118E-2</v>
      </c>
      <c r="K235" s="265">
        <f t="shared" si="118"/>
        <v>-3.125E-2</v>
      </c>
      <c r="L235" s="265">
        <f t="shared" si="118"/>
        <v>1.9354838709677358E-2</v>
      </c>
      <c r="M235" s="265">
        <f t="shared" si="118"/>
        <v>1.8987341772152E-2</v>
      </c>
      <c r="N235" s="265">
        <f t="shared" si="118"/>
        <v>1.8633540372670732E-2</v>
      </c>
      <c r="O235" s="265">
        <f t="shared" si="118"/>
        <v>1.8292682926829285E-2</v>
      </c>
      <c r="P235" s="265">
        <f t="shared" si="118"/>
        <v>1.7964071856287456E-2</v>
      </c>
      <c r="Q235" s="265">
        <f t="shared" si="118"/>
        <v>2.3529411764705799E-2</v>
      </c>
      <c r="R235" s="265">
        <f t="shared" si="118"/>
        <v>2.2988505747126409E-2</v>
      </c>
      <c r="S235" s="265">
        <f t="shared" si="118"/>
        <v>2.2471910112359605E-2</v>
      </c>
    </row>
    <row r="236" spans="1:20" ht="15" customHeight="1" outlineLevel="3">
      <c r="B236" s="34" t="s">
        <v>64</v>
      </c>
      <c r="C236" s="204" t="s">
        <v>229</v>
      </c>
      <c r="D236" s="206" t="s">
        <v>229</v>
      </c>
      <c r="E236" s="261" t="s">
        <v>44</v>
      </c>
      <c r="F236" s="262" t="str">
        <f t="shared" si="110"/>
        <v/>
      </c>
      <c r="G236" s="262" t="str">
        <f t="shared" si="110"/>
        <v/>
      </c>
      <c r="H236" s="263" t="str">
        <f t="shared" si="111"/>
        <v/>
      </c>
      <c r="I236" s="264" t="str">
        <f t="shared" ref="I236:S236" si="119">+IF(ISNONTEXT(H11),IF(H11&lt;&gt;0,I11/H11-1,""),"")</f>
        <v/>
      </c>
      <c r="J236" s="265">
        <f t="shared" si="119"/>
        <v>-0.28588036188741062</v>
      </c>
      <c r="K236" s="265">
        <f t="shared" si="119"/>
        <v>1.6666666666666607E-2</v>
      </c>
      <c r="L236" s="265">
        <f t="shared" si="119"/>
        <v>1.6393442622950838E-2</v>
      </c>
      <c r="M236" s="265">
        <f t="shared" si="119"/>
        <v>1.6129032258064502E-2</v>
      </c>
      <c r="N236" s="265">
        <f t="shared" si="119"/>
        <v>1.5873015873015817E-2</v>
      </c>
      <c r="O236" s="265">
        <f t="shared" si="119"/>
        <v>1.5625E-2</v>
      </c>
      <c r="P236" s="265">
        <f t="shared" si="119"/>
        <v>1.538461538461533E-2</v>
      </c>
      <c r="Q236" s="265">
        <f t="shared" si="119"/>
        <v>1.5151515151515138E-2</v>
      </c>
      <c r="R236" s="265">
        <f t="shared" si="119"/>
        <v>1.4925373134328401E-2</v>
      </c>
      <c r="S236" s="265">
        <f t="shared" si="119"/>
        <v>1.4705882352941124E-2</v>
      </c>
    </row>
    <row r="237" spans="1:20" ht="15" customHeight="1" outlineLevel="2">
      <c r="A237" s="218" t="s">
        <v>44</v>
      </c>
      <c r="B237" s="34" t="s">
        <v>175</v>
      </c>
      <c r="C237" s="204" t="s">
        <v>445</v>
      </c>
      <c r="D237" s="205" t="s">
        <v>42</v>
      </c>
      <c r="E237" s="261" t="s">
        <v>44</v>
      </c>
      <c r="F237" s="262">
        <f t="shared" si="110"/>
        <v>-0.52586146518772714</v>
      </c>
      <c r="G237" s="262">
        <f t="shared" si="110"/>
        <v>1.1533386239627186</v>
      </c>
      <c r="H237" s="263">
        <f t="shared" si="111"/>
        <v>0.89386131424512016</v>
      </c>
      <c r="I237" s="264">
        <f t="shared" ref="I237:S237" si="120">+IF(ISNONTEXT(H12),IF(H12&lt;&gt;0,I12/H12-1,""),"")</f>
        <v>-6.8954908601641218E-2</v>
      </c>
      <c r="J237" s="265">
        <f t="shared" si="120"/>
        <v>-1</v>
      </c>
      <c r="K237" s="265" t="str">
        <f t="shared" si="120"/>
        <v/>
      </c>
      <c r="L237" s="265" t="str">
        <f t="shared" si="120"/>
        <v/>
      </c>
      <c r="M237" s="265" t="str">
        <f t="shared" si="120"/>
        <v/>
      </c>
      <c r="N237" s="265" t="str">
        <f t="shared" si="120"/>
        <v/>
      </c>
      <c r="O237" s="265" t="str">
        <f t="shared" si="120"/>
        <v/>
      </c>
      <c r="P237" s="265" t="str">
        <f t="shared" si="120"/>
        <v/>
      </c>
      <c r="Q237" s="265" t="str">
        <f t="shared" si="120"/>
        <v/>
      </c>
      <c r="R237" s="265" t="str">
        <f t="shared" si="120"/>
        <v/>
      </c>
      <c r="S237" s="265" t="str">
        <f t="shared" si="120"/>
        <v/>
      </c>
    </row>
    <row r="238" spans="1:20" ht="15" customHeight="1" outlineLevel="3">
      <c r="A238" s="218" t="s">
        <v>44</v>
      </c>
      <c r="B238" s="34" t="s">
        <v>67</v>
      </c>
      <c r="C238" s="204" t="s">
        <v>447</v>
      </c>
      <c r="D238" s="206" t="s">
        <v>43</v>
      </c>
      <c r="E238" s="261" t="s">
        <v>44</v>
      </c>
      <c r="F238" s="262">
        <f t="shared" si="110"/>
        <v>-0.98055122157830699</v>
      </c>
      <c r="G238" s="262">
        <f t="shared" si="110"/>
        <v>2.8453019638726191</v>
      </c>
      <c r="H238" s="263">
        <f t="shared" si="111"/>
        <v>5.1481887089629383</v>
      </c>
      <c r="I238" s="264">
        <f t="shared" ref="I238:S238" si="121">+IF(ISNONTEXT(H13),IF(H13&lt;&gt;0,I13/H13-1,""),"")</f>
        <v>-0.21820430660601098</v>
      </c>
      <c r="J238" s="265">
        <f t="shared" si="121"/>
        <v>-1</v>
      </c>
      <c r="K238" s="265" t="str">
        <f t="shared" si="121"/>
        <v/>
      </c>
      <c r="L238" s="265" t="str">
        <f t="shared" si="121"/>
        <v/>
      </c>
      <c r="M238" s="265" t="str">
        <f t="shared" si="121"/>
        <v/>
      </c>
      <c r="N238" s="265" t="str">
        <f t="shared" si="121"/>
        <v/>
      </c>
      <c r="O238" s="265" t="str">
        <f t="shared" si="121"/>
        <v/>
      </c>
      <c r="P238" s="265" t="str">
        <f t="shared" si="121"/>
        <v/>
      </c>
      <c r="Q238" s="265" t="str">
        <f t="shared" si="121"/>
        <v/>
      </c>
      <c r="R238" s="265" t="str">
        <f t="shared" si="121"/>
        <v/>
      </c>
      <c r="S238" s="265" t="str">
        <f t="shared" si="121"/>
        <v/>
      </c>
    </row>
    <row r="239" spans="1:20" ht="15" customHeight="1" outlineLevel="3">
      <c r="B239" s="34" t="s">
        <v>69</v>
      </c>
      <c r="C239" s="204" t="s">
        <v>231</v>
      </c>
      <c r="D239" s="206" t="s">
        <v>231</v>
      </c>
      <c r="E239" s="261" t="s">
        <v>44</v>
      </c>
      <c r="F239" s="262" t="str">
        <f t="shared" si="110"/>
        <v/>
      </c>
      <c r="G239" s="262" t="str">
        <f t="shared" si="110"/>
        <v/>
      </c>
      <c r="H239" s="263" t="str">
        <f t="shared" si="111"/>
        <v/>
      </c>
      <c r="I239" s="264" t="str">
        <f t="shared" ref="I239:S239" si="122">+IF(ISNONTEXT(H14),IF(H14&lt;&gt;0,I14/H14-1,""),"")</f>
        <v/>
      </c>
      <c r="J239" s="265">
        <f t="shared" si="122"/>
        <v>-1</v>
      </c>
      <c r="K239" s="265" t="str">
        <f t="shared" si="122"/>
        <v/>
      </c>
      <c r="L239" s="265" t="str">
        <f t="shared" si="122"/>
        <v/>
      </c>
      <c r="M239" s="265" t="str">
        <f t="shared" si="122"/>
        <v/>
      </c>
      <c r="N239" s="265" t="str">
        <f t="shared" si="122"/>
        <v/>
      </c>
      <c r="O239" s="265" t="str">
        <f t="shared" si="122"/>
        <v/>
      </c>
      <c r="P239" s="265" t="str">
        <f t="shared" si="122"/>
        <v/>
      </c>
      <c r="Q239" s="265" t="str">
        <f t="shared" si="122"/>
        <v/>
      </c>
      <c r="R239" s="265" t="str">
        <f t="shared" si="122"/>
        <v/>
      </c>
      <c r="S239" s="265" t="str">
        <f t="shared" si="122"/>
        <v/>
      </c>
    </row>
    <row r="240" spans="1:20" ht="15" customHeight="1" outlineLevel="1">
      <c r="A240" s="218" t="s">
        <v>44</v>
      </c>
      <c r="B240" s="33">
        <v>2</v>
      </c>
      <c r="C240" s="219" t="s">
        <v>34</v>
      </c>
      <c r="D240" s="203" t="s">
        <v>34</v>
      </c>
      <c r="E240" s="256" t="s">
        <v>44</v>
      </c>
      <c r="F240" s="257">
        <f t="shared" si="110"/>
        <v>-0.10321295389671414</v>
      </c>
      <c r="G240" s="257">
        <f t="shared" si="110"/>
        <v>0.30474578030070631</v>
      </c>
      <c r="H240" s="258">
        <f t="shared" si="111"/>
        <v>0.17229072155018699</v>
      </c>
      <c r="I240" s="259">
        <f t="shared" ref="I240:S240" si="123">+IF(ISNONTEXT(H15),IF(H15&lt;&gt;0,I15/H15-1,""),"")</f>
        <v>9.2538870192526268E-2</v>
      </c>
      <c r="J240" s="260">
        <f t="shared" si="123"/>
        <v>-0.23117745169116877</v>
      </c>
      <c r="K240" s="260">
        <f t="shared" si="123"/>
        <v>-9.0842579039046578E-3</v>
      </c>
      <c r="L240" s="260">
        <f t="shared" si="123"/>
        <v>-1.1557272499011728E-2</v>
      </c>
      <c r="M240" s="260">
        <f t="shared" si="123"/>
        <v>5.0108397375800973E-3</v>
      </c>
      <c r="N240" s="260">
        <f t="shared" si="123"/>
        <v>2.4514314775480939E-2</v>
      </c>
      <c r="O240" s="260">
        <f t="shared" si="123"/>
        <v>1.8435006188477709E-2</v>
      </c>
      <c r="P240" s="260">
        <f t="shared" si="123"/>
        <v>1.5928641723942816E-2</v>
      </c>
      <c r="Q240" s="260">
        <f t="shared" si="123"/>
        <v>1.5678898172329703E-2</v>
      </c>
      <c r="R240" s="260">
        <f t="shared" si="123"/>
        <v>1.4201915924904718E-2</v>
      </c>
      <c r="S240" s="260">
        <f t="shared" si="123"/>
        <v>1.3394339530513166E-2</v>
      </c>
      <c r="T240" s="31"/>
    </row>
    <row r="241" spans="1:20" ht="15" customHeight="1" outlineLevel="2">
      <c r="A241" s="218" t="s">
        <v>44</v>
      </c>
      <c r="B241" s="34" t="s">
        <v>176</v>
      </c>
      <c r="C241" s="204" t="s">
        <v>448</v>
      </c>
      <c r="D241" s="205" t="s">
        <v>232</v>
      </c>
      <c r="E241" s="261" t="s">
        <v>44</v>
      </c>
      <c r="F241" s="262">
        <f t="shared" si="110"/>
        <v>3.6559159667944652E-2</v>
      </c>
      <c r="G241" s="262">
        <f t="shared" si="110"/>
        <v>0.11822943137077679</v>
      </c>
      <c r="H241" s="263">
        <f t="shared" si="111"/>
        <v>2.5097412617867576E-2</v>
      </c>
      <c r="I241" s="264">
        <f t="shared" ref="I241:S241" si="124">+IF(ISNONTEXT(H16),IF(H16&lt;&gt;0,I16/H16-1,""),"")</f>
        <v>0.17016489804008161</v>
      </c>
      <c r="J241" s="265">
        <f t="shared" si="124"/>
        <v>-0.14242354024506465</v>
      </c>
      <c r="K241" s="265">
        <f t="shared" si="124"/>
        <v>1.0084657315749368E-2</v>
      </c>
      <c r="L241" s="265">
        <f t="shared" si="124"/>
        <v>9.944751381215422E-3</v>
      </c>
      <c r="M241" s="265">
        <f t="shared" si="124"/>
        <v>1.3493800145878865E-2</v>
      </c>
      <c r="N241" s="265">
        <f t="shared" si="124"/>
        <v>1.5833033465275204E-2</v>
      </c>
      <c r="O241" s="265">
        <f t="shared" si="124"/>
        <v>1.5586255756287581E-2</v>
      </c>
      <c r="P241" s="265">
        <f t="shared" si="124"/>
        <v>1.6393442622950838E-2</v>
      </c>
      <c r="Q241" s="265">
        <f t="shared" si="124"/>
        <v>1.6129032258064502E-2</v>
      </c>
      <c r="R241" s="265">
        <f t="shared" si="124"/>
        <v>1.5197568389057725E-2</v>
      </c>
      <c r="S241" s="265">
        <f t="shared" si="124"/>
        <v>1.6633399866932796E-2</v>
      </c>
    </row>
    <row r="242" spans="1:20" ht="15" customHeight="1" outlineLevel="3">
      <c r="A242" s="218" t="s">
        <v>44</v>
      </c>
      <c r="B242" s="34" t="s">
        <v>72</v>
      </c>
      <c r="C242" s="204" t="s">
        <v>449</v>
      </c>
      <c r="D242" s="206" t="s">
        <v>233</v>
      </c>
      <c r="E242" s="261" t="s">
        <v>44</v>
      </c>
      <c r="F242" s="262" t="str">
        <f t="shared" si="110"/>
        <v/>
      </c>
      <c r="G242" s="262" t="str">
        <f t="shared" si="110"/>
        <v/>
      </c>
      <c r="H242" s="263" t="str">
        <f t="shared" si="111"/>
        <v/>
      </c>
      <c r="I242" s="264" t="str">
        <f t="shared" ref="I242:S242" si="125">+IF(ISNONTEXT(H17),IF(H17&lt;&gt;0,I17/H17-1,""),"")</f>
        <v/>
      </c>
      <c r="J242" s="265" t="str">
        <f t="shared" si="125"/>
        <v/>
      </c>
      <c r="K242" s="265">
        <f t="shared" si="125"/>
        <v>0</v>
      </c>
      <c r="L242" s="265">
        <f t="shared" si="125"/>
        <v>0</v>
      </c>
      <c r="M242" s="265">
        <f t="shared" si="125"/>
        <v>0</v>
      </c>
      <c r="N242" s="265">
        <f t="shared" si="125"/>
        <v>0</v>
      </c>
      <c r="O242" s="265">
        <f t="shared" si="125"/>
        <v>0</v>
      </c>
      <c r="P242" s="265">
        <f t="shared" si="125"/>
        <v>0</v>
      </c>
      <c r="Q242" s="265">
        <f t="shared" si="125"/>
        <v>-8.181818181818179E-2</v>
      </c>
      <c r="R242" s="265">
        <f t="shared" si="125"/>
        <v>-0.41584158415841588</v>
      </c>
      <c r="S242" s="265">
        <f t="shared" si="125"/>
        <v>0</v>
      </c>
    </row>
    <row r="243" spans="1:20" ht="48" customHeight="1" outlineLevel="3">
      <c r="A243" s="218" t="s">
        <v>44</v>
      </c>
      <c r="B243" s="34" t="s">
        <v>74</v>
      </c>
      <c r="C243" s="204" t="s">
        <v>417</v>
      </c>
      <c r="D243" s="207" t="s">
        <v>417</v>
      </c>
      <c r="E243" s="261" t="s">
        <v>44</v>
      </c>
      <c r="F243" s="262" t="str">
        <f t="shared" si="110"/>
        <v/>
      </c>
      <c r="G243" s="262" t="str">
        <f t="shared" si="110"/>
        <v/>
      </c>
      <c r="H243" s="263" t="str">
        <f t="shared" si="111"/>
        <v/>
      </c>
      <c r="I243" s="264" t="str">
        <f t="shared" ref="I243:S243" si="126">+IF(ISNONTEXT(H18),IF(H18&lt;&gt;0,I18/H18-1,""),"")</f>
        <v/>
      </c>
      <c r="J243" s="265" t="str">
        <f t="shared" si="126"/>
        <v/>
      </c>
      <c r="K243" s="265" t="str">
        <f t="shared" si="126"/>
        <v/>
      </c>
      <c r="L243" s="265" t="str">
        <f t="shared" si="126"/>
        <v/>
      </c>
      <c r="M243" s="265" t="str">
        <f t="shared" si="126"/>
        <v/>
      </c>
      <c r="N243" s="265" t="str">
        <f t="shared" si="126"/>
        <v/>
      </c>
      <c r="O243" s="265" t="str">
        <f t="shared" si="126"/>
        <v/>
      </c>
      <c r="P243" s="265" t="str">
        <f t="shared" si="126"/>
        <v/>
      </c>
      <c r="Q243" s="265" t="str">
        <f t="shared" si="126"/>
        <v/>
      </c>
      <c r="R243" s="265" t="str">
        <f t="shared" si="126"/>
        <v/>
      </c>
      <c r="S243" s="265" t="str">
        <f t="shared" si="126"/>
        <v/>
      </c>
    </row>
    <row r="244" spans="1:20" ht="39" customHeight="1" outlineLevel="3">
      <c r="B244" s="34" t="s">
        <v>76</v>
      </c>
      <c r="C244" s="204" t="s">
        <v>418</v>
      </c>
      <c r="D244" s="206" t="s">
        <v>418</v>
      </c>
      <c r="E244" s="261" t="s">
        <v>44</v>
      </c>
      <c r="F244" s="266" t="str">
        <f t="shared" si="110"/>
        <v/>
      </c>
      <c r="G244" s="266" t="str">
        <f t="shared" si="110"/>
        <v/>
      </c>
      <c r="H244" s="263" t="str">
        <f t="shared" si="111"/>
        <v/>
      </c>
      <c r="I244" s="264" t="str">
        <f t="shared" ref="I244:S244" si="127">+IF(ISNONTEXT(H19),IF(H19&lt;&gt;0,I19/H19-1,""),"")</f>
        <v/>
      </c>
      <c r="J244" s="265" t="str">
        <f t="shared" si="127"/>
        <v/>
      </c>
      <c r="K244" s="265" t="str">
        <f t="shared" si="127"/>
        <v/>
      </c>
      <c r="L244" s="265" t="str">
        <f t="shared" si="127"/>
        <v/>
      </c>
      <c r="M244" s="265" t="str">
        <f t="shared" si="127"/>
        <v/>
      </c>
      <c r="N244" s="265" t="str">
        <f t="shared" si="127"/>
        <v/>
      </c>
      <c r="O244" s="265" t="str">
        <f t="shared" si="127"/>
        <v/>
      </c>
      <c r="P244" s="265" t="str">
        <f t="shared" si="127"/>
        <v/>
      </c>
      <c r="Q244" s="265" t="str">
        <f t="shared" si="127"/>
        <v/>
      </c>
      <c r="R244" s="265" t="str">
        <f t="shared" si="127"/>
        <v/>
      </c>
      <c r="S244" s="265" t="str">
        <f t="shared" si="127"/>
        <v/>
      </c>
    </row>
    <row r="245" spans="1:20" ht="15" customHeight="1" outlineLevel="3">
      <c r="A245" s="218" t="s">
        <v>44</v>
      </c>
      <c r="B245" s="34" t="s">
        <v>78</v>
      </c>
      <c r="C245" s="204" t="s">
        <v>454</v>
      </c>
      <c r="D245" s="206" t="s">
        <v>234</v>
      </c>
      <c r="E245" s="261" t="s">
        <v>44</v>
      </c>
      <c r="F245" s="262">
        <f t="shared" si="110"/>
        <v>0.62781406505376403</v>
      </c>
      <c r="G245" s="262">
        <f t="shared" si="110"/>
        <v>0.17078650959523345</v>
      </c>
      <c r="H245" s="263">
        <f t="shared" si="111"/>
        <v>4.7352952841661855E-2</v>
      </c>
      <c r="I245" s="264">
        <f t="shared" ref="I245:S245" si="128">+IF(ISNONTEXT(H20),IF(H20&lt;&gt;0,I20/H20-1,""),"")</f>
        <v>-0.1152227356612775</v>
      </c>
      <c r="J245" s="265">
        <f t="shared" si="128"/>
        <v>-0.14000000000000001</v>
      </c>
      <c r="K245" s="265">
        <f t="shared" si="128"/>
        <v>-7.1428571428571397E-2</v>
      </c>
      <c r="L245" s="265">
        <f t="shared" si="128"/>
        <v>-0.10017889087656529</v>
      </c>
      <c r="M245" s="265">
        <f t="shared" si="128"/>
        <v>-0.13717693836978129</v>
      </c>
      <c r="N245" s="265">
        <f t="shared" si="128"/>
        <v>-0.15668202764976957</v>
      </c>
      <c r="O245" s="265">
        <f t="shared" si="128"/>
        <v>-0.17486338797814205</v>
      </c>
      <c r="P245" s="265">
        <f t="shared" si="128"/>
        <v>-0.21523178807947019</v>
      </c>
      <c r="Q245" s="265">
        <f t="shared" si="128"/>
        <v>-0.21940928270042193</v>
      </c>
      <c r="R245" s="265">
        <f t="shared" si="128"/>
        <v>-0.30810810810810807</v>
      </c>
      <c r="S245" s="265">
        <f t="shared" si="128"/>
        <v>-0.4609375</v>
      </c>
    </row>
    <row r="246" spans="1:20" ht="15" customHeight="1" outlineLevel="3">
      <c r="A246" s="218" t="s">
        <v>44</v>
      </c>
      <c r="B246" s="34" t="s">
        <v>80</v>
      </c>
      <c r="C246" s="204" t="s">
        <v>235</v>
      </c>
      <c r="D246" s="207" t="s">
        <v>235</v>
      </c>
      <c r="E246" s="261" t="s">
        <v>44</v>
      </c>
      <c r="F246" s="262">
        <f t="shared" si="110"/>
        <v>0.62781406505376403</v>
      </c>
      <c r="G246" s="262">
        <f t="shared" si="110"/>
        <v>0.17078650959523345</v>
      </c>
      <c r="H246" s="263">
        <f t="shared" si="111"/>
        <v>4.7352952841661855E-2</v>
      </c>
      <c r="I246" s="264">
        <f t="shared" ref="I246:S246" si="129">+IF(ISNONTEXT(H21),IF(H21&lt;&gt;0,I21/H21-1,""),"")</f>
        <v>-0.1152227356612775</v>
      </c>
      <c r="J246" s="265">
        <f t="shared" si="129"/>
        <v>-0.14000000000000001</v>
      </c>
      <c r="K246" s="265">
        <f t="shared" si="129"/>
        <v>-7.1428571428571397E-2</v>
      </c>
      <c r="L246" s="265">
        <f t="shared" si="129"/>
        <v>-0.10017889087656529</v>
      </c>
      <c r="M246" s="265">
        <f t="shared" si="129"/>
        <v>-0.13717693836978129</v>
      </c>
      <c r="N246" s="265">
        <f t="shared" si="129"/>
        <v>-0.15668202764976957</v>
      </c>
      <c r="O246" s="265">
        <f t="shared" si="129"/>
        <v>-0.17486338797814205</v>
      </c>
      <c r="P246" s="265">
        <f t="shared" si="129"/>
        <v>-0.21523178807947019</v>
      </c>
      <c r="Q246" s="265">
        <f t="shared" si="129"/>
        <v>-0.21940928270042193</v>
      </c>
      <c r="R246" s="265">
        <f t="shared" si="129"/>
        <v>-0.30810810810810807</v>
      </c>
      <c r="S246" s="265">
        <f t="shared" si="129"/>
        <v>-0.4609375</v>
      </c>
    </row>
    <row r="247" spans="1:20" ht="15" customHeight="1" outlineLevel="2">
      <c r="A247" s="218" t="s">
        <v>44</v>
      </c>
      <c r="B247" s="34" t="s">
        <v>177</v>
      </c>
      <c r="C247" s="204" t="s">
        <v>35</v>
      </c>
      <c r="D247" s="205" t="s">
        <v>35</v>
      </c>
      <c r="E247" s="261" t="s">
        <v>44</v>
      </c>
      <c r="F247" s="262">
        <f t="shared" si="110"/>
        <v>-0.47796946888832081</v>
      </c>
      <c r="G247" s="262">
        <f t="shared" si="110"/>
        <v>1.2977332192987636</v>
      </c>
      <c r="H247" s="263">
        <f t="shared" si="111"/>
        <v>0.95592769339153194</v>
      </c>
      <c r="I247" s="264">
        <f t="shared" ref="I247:S247" si="130">+IF(ISNONTEXT(H22),IF(H22&lt;&gt;0,I22/H22-1,""),"")</f>
        <v>-0.1240551960359656</v>
      </c>
      <c r="J247" s="265">
        <f t="shared" si="130"/>
        <v>-0.56200145911929911</v>
      </c>
      <c r="K247" s="265">
        <f t="shared" si="130"/>
        <v>-0.14898088392702324</v>
      </c>
      <c r="L247" s="265">
        <f t="shared" si="130"/>
        <v>-0.19781208483658907</v>
      </c>
      <c r="M247" s="265">
        <f t="shared" si="130"/>
        <v>-8.7500954538512477E-2</v>
      </c>
      <c r="N247" s="265">
        <f t="shared" si="130"/>
        <v>0.12966743669092962</v>
      </c>
      <c r="O247" s="265">
        <f t="shared" si="130"/>
        <v>4.9463769525070589E-2</v>
      </c>
      <c r="P247" s="265">
        <f t="shared" si="130"/>
        <v>1.1029427984452944E-2</v>
      </c>
      <c r="Q247" s="265">
        <f t="shared" si="130"/>
        <v>1.0909106776882505E-2</v>
      </c>
      <c r="R247" s="265">
        <f t="shared" si="130"/>
        <v>3.5971274778812123E-3</v>
      </c>
      <c r="S247" s="265">
        <f t="shared" si="130"/>
        <v>-2.1503973482399297E-2</v>
      </c>
    </row>
    <row r="248" spans="1:20" ht="15" customHeight="1" outlineLevel="1">
      <c r="A248" s="218" t="s">
        <v>44</v>
      </c>
      <c r="B248" s="33">
        <v>3</v>
      </c>
      <c r="C248" s="219" t="s">
        <v>36</v>
      </c>
      <c r="D248" s="203" t="s">
        <v>36</v>
      </c>
      <c r="E248" s="256" t="s">
        <v>44</v>
      </c>
      <c r="F248" s="257">
        <f t="shared" si="110"/>
        <v>-1.0083977399625212</v>
      </c>
      <c r="G248" s="257">
        <f t="shared" si="110"/>
        <v>-186.66455767119945</v>
      </c>
      <c r="H248" s="258">
        <f t="shared" si="111"/>
        <v>-75.173955729007858</v>
      </c>
      <c r="I248" s="259">
        <f t="shared" ref="I248:S248" si="131">+IF(ISNONTEXT(H23),IF(H23&lt;&gt;0,I23/H23-1,""),"")</f>
        <v>0.33974066834613281</v>
      </c>
      <c r="J248" s="260">
        <f t="shared" si="131"/>
        <v>-1.3597668648522576</v>
      </c>
      <c r="K248" s="260">
        <f t="shared" si="131"/>
        <v>0.29596378978508153</v>
      </c>
      <c r="L248" s="260">
        <f t="shared" si="131"/>
        <v>0.28790516018860046</v>
      </c>
      <c r="M248" s="260">
        <f t="shared" si="131"/>
        <v>0.22354531147809031</v>
      </c>
      <c r="N248" s="260">
        <f t="shared" si="131"/>
        <v>-0.12397348227801852</v>
      </c>
      <c r="O248" s="260">
        <f t="shared" si="131"/>
        <v>-4.0638682782307756E-2</v>
      </c>
      <c r="P248" s="260">
        <f t="shared" si="131"/>
        <v>0</v>
      </c>
      <c r="Q248" s="260">
        <f t="shared" si="131"/>
        <v>0</v>
      </c>
      <c r="R248" s="260">
        <f t="shared" si="131"/>
        <v>2.4844658771034034E-2</v>
      </c>
      <c r="S248" s="260">
        <f t="shared" si="131"/>
        <v>3.6361123973032816E-2</v>
      </c>
      <c r="T248" s="31"/>
    </row>
    <row r="249" spans="1:20" ht="15" customHeight="1" outlineLevel="1">
      <c r="A249" s="218" t="s">
        <v>44</v>
      </c>
      <c r="B249" s="33">
        <v>4</v>
      </c>
      <c r="C249" s="219" t="s">
        <v>37</v>
      </c>
      <c r="D249" s="203" t="s">
        <v>37</v>
      </c>
      <c r="E249" s="256" t="s">
        <v>44</v>
      </c>
      <c r="F249" s="257">
        <f t="shared" ref="F249:G268" si="132">+IF(ISNONTEXT(E24),IF(E24&lt;&gt;0,F24/E24-1,""),"")</f>
        <v>-0.4</v>
      </c>
      <c r="G249" s="257">
        <f t="shared" si="132"/>
        <v>0.88209470277777768</v>
      </c>
      <c r="H249" s="258">
        <f t="shared" si="111"/>
        <v>0.79355384444444432</v>
      </c>
      <c r="I249" s="259">
        <f t="shared" ref="I249:S249" si="133">+IF(ISNONTEXT(H24),IF(H24&lt;&gt;0,I24/H24-1,""),"")</f>
        <v>0.1332886570837144</v>
      </c>
      <c r="J249" s="260">
        <f t="shared" si="133"/>
        <v>-1</v>
      </c>
      <c r="K249" s="260" t="str">
        <f t="shared" si="133"/>
        <v/>
      </c>
      <c r="L249" s="260" t="str">
        <f t="shared" si="133"/>
        <v/>
      </c>
      <c r="M249" s="260" t="str">
        <f t="shared" si="133"/>
        <v/>
      </c>
      <c r="N249" s="260" t="str">
        <f t="shared" si="133"/>
        <v/>
      </c>
      <c r="O249" s="260" t="str">
        <f t="shared" si="133"/>
        <v/>
      </c>
      <c r="P249" s="260" t="str">
        <f t="shared" si="133"/>
        <v/>
      </c>
      <c r="Q249" s="260" t="str">
        <f t="shared" si="133"/>
        <v/>
      </c>
      <c r="R249" s="260" t="str">
        <f t="shared" si="133"/>
        <v/>
      </c>
      <c r="S249" s="260" t="str">
        <f t="shared" si="133"/>
        <v/>
      </c>
      <c r="T249" s="31"/>
    </row>
    <row r="250" spans="1:20" ht="15" customHeight="1" outlineLevel="2">
      <c r="A250" s="218" t="s">
        <v>44</v>
      </c>
      <c r="B250" s="34" t="s">
        <v>178</v>
      </c>
      <c r="C250" s="204" t="s">
        <v>237</v>
      </c>
      <c r="D250" s="205" t="s">
        <v>237</v>
      </c>
      <c r="E250" s="261" t="s">
        <v>44</v>
      </c>
      <c r="F250" s="262" t="str">
        <f t="shared" si="132"/>
        <v/>
      </c>
      <c r="G250" s="262" t="str">
        <f t="shared" si="132"/>
        <v/>
      </c>
      <c r="H250" s="263" t="str">
        <f t="shared" si="111"/>
        <v/>
      </c>
      <c r="I250" s="264" t="str">
        <f t="shared" ref="I250:S250" si="134">+IF(ISNONTEXT(H25),IF(H25&lt;&gt;0,I25/H25-1,""),"")</f>
        <v/>
      </c>
      <c r="J250" s="265" t="str">
        <f t="shared" si="134"/>
        <v/>
      </c>
      <c r="K250" s="265" t="str">
        <f t="shared" si="134"/>
        <v/>
      </c>
      <c r="L250" s="265" t="str">
        <f t="shared" si="134"/>
        <v/>
      </c>
      <c r="M250" s="265" t="str">
        <f t="shared" si="134"/>
        <v/>
      </c>
      <c r="N250" s="265" t="str">
        <f t="shared" si="134"/>
        <v/>
      </c>
      <c r="O250" s="265" t="str">
        <f t="shared" si="134"/>
        <v/>
      </c>
      <c r="P250" s="265" t="str">
        <f t="shared" si="134"/>
        <v/>
      </c>
      <c r="Q250" s="265" t="str">
        <f t="shared" si="134"/>
        <v/>
      </c>
      <c r="R250" s="265" t="str">
        <f t="shared" si="134"/>
        <v/>
      </c>
      <c r="S250" s="265" t="str">
        <f t="shared" si="134"/>
        <v/>
      </c>
    </row>
    <row r="251" spans="1:20" ht="15" customHeight="1" outlineLevel="3">
      <c r="A251" s="218" t="s">
        <v>44</v>
      </c>
      <c r="B251" s="34" t="s">
        <v>84</v>
      </c>
      <c r="C251" s="204" t="s">
        <v>238</v>
      </c>
      <c r="D251" s="206" t="s">
        <v>238</v>
      </c>
      <c r="E251" s="261" t="s">
        <v>44</v>
      </c>
      <c r="F251" s="262" t="str">
        <f t="shared" si="132"/>
        <v/>
      </c>
      <c r="G251" s="262" t="str">
        <f t="shared" si="132"/>
        <v/>
      </c>
      <c r="H251" s="263" t="str">
        <f t="shared" si="111"/>
        <v/>
      </c>
      <c r="I251" s="264" t="str">
        <f t="shared" ref="I251:S251" si="135">+IF(ISNONTEXT(H26),IF(H26&lt;&gt;0,I26/H26-1,""),"")</f>
        <v/>
      </c>
      <c r="J251" s="265" t="str">
        <f t="shared" si="135"/>
        <v/>
      </c>
      <c r="K251" s="265" t="str">
        <f t="shared" si="135"/>
        <v/>
      </c>
      <c r="L251" s="265" t="str">
        <f t="shared" si="135"/>
        <v/>
      </c>
      <c r="M251" s="265" t="str">
        <f t="shared" si="135"/>
        <v/>
      </c>
      <c r="N251" s="265" t="str">
        <f t="shared" si="135"/>
        <v/>
      </c>
      <c r="O251" s="265" t="str">
        <f t="shared" si="135"/>
        <v/>
      </c>
      <c r="P251" s="265" t="str">
        <f t="shared" si="135"/>
        <v/>
      </c>
      <c r="Q251" s="265" t="str">
        <f t="shared" si="135"/>
        <v/>
      </c>
      <c r="R251" s="265" t="str">
        <f t="shared" si="135"/>
        <v/>
      </c>
      <c r="S251" s="265" t="str">
        <f t="shared" si="135"/>
        <v/>
      </c>
    </row>
    <row r="252" spans="1:20" ht="15" customHeight="1" outlineLevel="2">
      <c r="A252" s="218" t="s">
        <v>44</v>
      </c>
      <c r="B252" s="34" t="s">
        <v>179</v>
      </c>
      <c r="C252" s="204" t="s">
        <v>239</v>
      </c>
      <c r="D252" s="205" t="s">
        <v>239</v>
      </c>
      <c r="E252" s="261" t="s">
        <v>44</v>
      </c>
      <c r="F252" s="262" t="str">
        <f t="shared" si="132"/>
        <v/>
      </c>
      <c r="G252" s="262" t="str">
        <f t="shared" si="132"/>
        <v/>
      </c>
      <c r="H252" s="263" t="str">
        <f t="shared" si="111"/>
        <v/>
      </c>
      <c r="I252" s="264">
        <f t="shared" ref="I252:S252" si="136">+IF(ISNONTEXT(H27),IF(H27&lt;&gt;0,I27/H27-1,""),"")</f>
        <v>-0.11816265823930416</v>
      </c>
      <c r="J252" s="265">
        <f t="shared" si="136"/>
        <v>-1</v>
      </c>
      <c r="K252" s="265" t="str">
        <f t="shared" si="136"/>
        <v/>
      </c>
      <c r="L252" s="265" t="str">
        <f t="shared" si="136"/>
        <v/>
      </c>
      <c r="M252" s="265" t="str">
        <f t="shared" si="136"/>
        <v/>
      </c>
      <c r="N252" s="265" t="str">
        <f t="shared" si="136"/>
        <v/>
      </c>
      <c r="O252" s="265" t="str">
        <f t="shared" si="136"/>
        <v/>
      </c>
      <c r="P252" s="265" t="str">
        <f t="shared" si="136"/>
        <v/>
      </c>
      <c r="Q252" s="265" t="str">
        <f t="shared" si="136"/>
        <v/>
      </c>
      <c r="R252" s="265" t="str">
        <f t="shared" si="136"/>
        <v/>
      </c>
      <c r="S252" s="265" t="str">
        <f t="shared" si="136"/>
        <v/>
      </c>
    </row>
    <row r="253" spans="1:20" ht="15" customHeight="1" outlineLevel="3">
      <c r="A253" s="218" t="s">
        <v>44</v>
      </c>
      <c r="B253" s="34" t="s">
        <v>87</v>
      </c>
      <c r="C253" s="204" t="s">
        <v>238</v>
      </c>
      <c r="D253" s="206" t="s">
        <v>238</v>
      </c>
      <c r="E253" s="261" t="s">
        <v>44</v>
      </c>
      <c r="F253" s="262" t="str">
        <f t="shared" si="132"/>
        <v/>
      </c>
      <c r="G253" s="262" t="str">
        <f t="shared" si="132"/>
        <v/>
      </c>
      <c r="H253" s="263" t="str">
        <f t="shared" si="111"/>
        <v/>
      </c>
      <c r="I253" s="264">
        <f t="shared" ref="I253:S253" si="137">+IF(ISNONTEXT(H28),IF(H28&lt;&gt;0,I28/H28-1,""),"")</f>
        <v>1.4766588869858888</v>
      </c>
      <c r="J253" s="265">
        <f t="shared" si="137"/>
        <v>-1</v>
      </c>
      <c r="K253" s="265" t="str">
        <f t="shared" si="137"/>
        <v/>
      </c>
      <c r="L253" s="265" t="str">
        <f t="shared" si="137"/>
        <v/>
      </c>
      <c r="M253" s="265" t="str">
        <f t="shared" si="137"/>
        <v/>
      </c>
      <c r="N253" s="265" t="str">
        <f t="shared" si="137"/>
        <v/>
      </c>
      <c r="O253" s="265" t="str">
        <f t="shared" si="137"/>
        <v/>
      </c>
      <c r="P253" s="265" t="str">
        <f t="shared" si="137"/>
        <v/>
      </c>
      <c r="Q253" s="265" t="str">
        <f t="shared" si="137"/>
        <v/>
      </c>
      <c r="R253" s="265" t="str">
        <f t="shared" si="137"/>
        <v/>
      </c>
      <c r="S253" s="265" t="str">
        <f t="shared" si="137"/>
        <v/>
      </c>
    </row>
    <row r="254" spans="1:20" ht="15" customHeight="1" outlineLevel="2">
      <c r="A254" s="218" t="s">
        <v>44</v>
      </c>
      <c r="B254" s="34" t="s">
        <v>180</v>
      </c>
      <c r="C254" s="204" t="s">
        <v>240</v>
      </c>
      <c r="D254" s="205" t="s">
        <v>240</v>
      </c>
      <c r="E254" s="261" t="s">
        <v>44</v>
      </c>
      <c r="F254" s="262">
        <f t="shared" si="132"/>
        <v>-0.4</v>
      </c>
      <c r="G254" s="262">
        <f t="shared" si="132"/>
        <v>6.076308055555546E-2</v>
      </c>
      <c r="H254" s="263">
        <f t="shared" si="111"/>
        <v>-2.777777777777779E-2</v>
      </c>
      <c r="I254" s="264">
        <f t="shared" ref="I254:S254" si="138">+IF(ISNONTEXT(H29),IF(H29&lt;&gt;0,I29/H29-1,""),"")</f>
        <v>0.34571428571428564</v>
      </c>
      <c r="J254" s="265">
        <f t="shared" si="138"/>
        <v>-1</v>
      </c>
      <c r="K254" s="265" t="str">
        <f t="shared" si="138"/>
        <v/>
      </c>
      <c r="L254" s="265" t="str">
        <f t="shared" si="138"/>
        <v/>
      </c>
      <c r="M254" s="265" t="str">
        <f t="shared" si="138"/>
        <v/>
      </c>
      <c r="N254" s="265" t="str">
        <f t="shared" si="138"/>
        <v/>
      </c>
      <c r="O254" s="265" t="str">
        <f t="shared" si="138"/>
        <v/>
      </c>
      <c r="P254" s="265" t="str">
        <f t="shared" si="138"/>
        <v/>
      </c>
      <c r="Q254" s="265" t="str">
        <f t="shared" si="138"/>
        <v/>
      </c>
      <c r="R254" s="265" t="str">
        <f t="shared" si="138"/>
        <v/>
      </c>
      <c r="S254" s="265" t="str">
        <f t="shared" si="138"/>
        <v/>
      </c>
    </row>
    <row r="255" spans="1:20" ht="15" customHeight="1" outlineLevel="3">
      <c r="A255" s="218" t="s">
        <v>44</v>
      </c>
      <c r="B255" s="34" t="s">
        <v>90</v>
      </c>
      <c r="C255" s="204" t="s">
        <v>238</v>
      </c>
      <c r="D255" s="206" t="s">
        <v>238</v>
      </c>
      <c r="E255" s="261" t="s">
        <v>44</v>
      </c>
      <c r="F255" s="262" t="str">
        <f t="shared" si="132"/>
        <v/>
      </c>
      <c r="G255" s="262" t="str">
        <f t="shared" si="132"/>
        <v/>
      </c>
      <c r="H255" s="263" t="str">
        <f t="shared" si="111"/>
        <v/>
      </c>
      <c r="I255" s="264" t="str">
        <f t="shared" ref="I255:S255" si="139">+IF(ISNONTEXT(H30),IF(H30&lt;&gt;0,I30/H30-1,""),"")</f>
        <v/>
      </c>
      <c r="J255" s="265" t="str">
        <f t="shared" si="139"/>
        <v/>
      </c>
      <c r="K255" s="265" t="str">
        <f t="shared" si="139"/>
        <v/>
      </c>
      <c r="L255" s="265" t="str">
        <f t="shared" si="139"/>
        <v/>
      </c>
      <c r="M255" s="265" t="str">
        <f t="shared" si="139"/>
        <v/>
      </c>
      <c r="N255" s="265" t="str">
        <f t="shared" si="139"/>
        <v/>
      </c>
      <c r="O255" s="265" t="str">
        <f t="shared" si="139"/>
        <v/>
      </c>
      <c r="P255" s="265" t="str">
        <f t="shared" si="139"/>
        <v/>
      </c>
      <c r="Q255" s="265" t="str">
        <f t="shared" si="139"/>
        <v/>
      </c>
      <c r="R255" s="265" t="str">
        <f t="shared" si="139"/>
        <v/>
      </c>
      <c r="S255" s="265" t="str">
        <f t="shared" si="139"/>
        <v/>
      </c>
    </row>
    <row r="256" spans="1:20" ht="15" customHeight="1" outlineLevel="2">
      <c r="A256" s="218" t="s">
        <v>44</v>
      </c>
      <c r="B256" s="34" t="s">
        <v>181</v>
      </c>
      <c r="C256" s="204" t="s">
        <v>241</v>
      </c>
      <c r="D256" s="205" t="s">
        <v>241</v>
      </c>
      <c r="E256" s="261" t="s">
        <v>44</v>
      </c>
      <c r="F256" s="262" t="str">
        <f t="shared" si="132"/>
        <v/>
      </c>
      <c r="G256" s="262" t="str">
        <f t="shared" si="132"/>
        <v/>
      </c>
      <c r="H256" s="263" t="str">
        <f t="shared" si="111"/>
        <v/>
      </c>
      <c r="I256" s="264" t="str">
        <f t="shared" ref="I256:S256" si="140">+IF(ISNONTEXT(H31),IF(H31&lt;&gt;0,I31/H31-1,""),"")</f>
        <v/>
      </c>
      <c r="J256" s="265" t="str">
        <f t="shared" si="140"/>
        <v/>
      </c>
      <c r="K256" s="265" t="str">
        <f t="shared" si="140"/>
        <v/>
      </c>
      <c r="L256" s="265" t="str">
        <f t="shared" si="140"/>
        <v/>
      </c>
      <c r="M256" s="265" t="str">
        <f t="shared" si="140"/>
        <v/>
      </c>
      <c r="N256" s="265" t="str">
        <f t="shared" si="140"/>
        <v/>
      </c>
      <c r="O256" s="265" t="str">
        <f t="shared" si="140"/>
        <v/>
      </c>
      <c r="P256" s="265" t="str">
        <f t="shared" si="140"/>
        <v/>
      </c>
      <c r="Q256" s="265" t="str">
        <f t="shared" si="140"/>
        <v/>
      </c>
      <c r="R256" s="265" t="str">
        <f t="shared" si="140"/>
        <v/>
      </c>
      <c r="S256" s="265" t="str">
        <f t="shared" si="140"/>
        <v/>
      </c>
    </row>
    <row r="257" spans="1:20" ht="15" customHeight="1" outlineLevel="3">
      <c r="A257" s="218" t="s">
        <v>44</v>
      </c>
      <c r="B257" s="34" t="s">
        <v>92</v>
      </c>
      <c r="C257" s="204" t="s">
        <v>238</v>
      </c>
      <c r="D257" s="206" t="s">
        <v>238</v>
      </c>
      <c r="E257" s="261" t="s">
        <v>44</v>
      </c>
      <c r="F257" s="262" t="str">
        <f t="shared" si="132"/>
        <v/>
      </c>
      <c r="G257" s="262" t="str">
        <f t="shared" si="132"/>
        <v/>
      </c>
      <c r="H257" s="263" t="str">
        <f t="shared" si="111"/>
        <v/>
      </c>
      <c r="I257" s="264" t="str">
        <f t="shared" ref="I257:S257" si="141">+IF(ISNONTEXT(H32),IF(H32&lt;&gt;0,I32/H32-1,""),"")</f>
        <v/>
      </c>
      <c r="J257" s="265" t="str">
        <f t="shared" si="141"/>
        <v/>
      </c>
      <c r="K257" s="265" t="str">
        <f t="shared" si="141"/>
        <v/>
      </c>
      <c r="L257" s="265" t="str">
        <f t="shared" si="141"/>
        <v/>
      </c>
      <c r="M257" s="265" t="str">
        <f t="shared" si="141"/>
        <v/>
      </c>
      <c r="N257" s="265" t="str">
        <f t="shared" si="141"/>
        <v/>
      </c>
      <c r="O257" s="265" t="str">
        <f t="shared" si="141"/>
        <v/>
      </c>
      <c r="P257" s="265" t="str">
        <f t="shared" si="141"/>
        <v/>
      </c>
      <c r="Q257" s="265" t="str">
        <f t="shared" si="141"/>
        <v/>
      </c>
      <c r="R257" s="265" t="str">
        <f t="shared" si="141"/>
        <v/>
      </c>
      <c r="S257" s="265" t="str">
        <f t="shared" si="141"/>
        <v/>
      </c>
    </row>
    <row r="258" spans="1:20" ht="15" customHeight="1" outlineLevel="1">
      <c r="A258" s="218" t="s">
        <v>44</v>
      </c>
      <c r="B258" s="33">
        <v>5</v>
      </c>
      <c r="C258" s="219" t="s">
        <v>93</v>
      </c>
      <c r="D258" s="203" t="s">
        <v>93</v>
      </c>
      <c r="E258" s="256" t="s">
        <v>44</v>
      </c>
      <c r="F258" s="257">
        <f t="shared" si="132"/>
        <v>0.32612845795678114</v>
      </c>
      <c r="G258" s="257">
        <f t="shared" si="132"/>
        <v>-0.25085889971443243</v>
      </c>
      <c r="H258" s="258">
        <f t="shared" si="111"/>
        <v>-0.2511828324181431</v>
      </c>
      <c r="I258" s="259">
        <f t="shared" ref="I258:S258" si="142">+IF(ISNONTEXT(H33),IF(H33&lt;&gt;0,I33/H33-1,""),"")</f>
        <v>1.4748096169945755</v>
      </c>
      <c r="J258" s="260">
        <f t="shared" si="142"/>
        <v>-0.80083648407643315</v>
      </c>
      <c r="K258" s="260">
        <f t="shared" si="142"/>
        <v>0.29596378978508153</v>
      </c>
      <c r="L258" s="260">
        <f t="shared" si="142"/>
        <v>0.28790516018860046</v>
      </c>
      <c r="M258" s="260">
        <f t="shared" si="142"/>
        <v>0.22354531147809031</v>
      </c>
      <c r="N258" s="260">
        <f t="shared" si="142"/>
        <v>-0.12397348227801852</v>
      </c>
      <c r="O258" s="260">
        <f t="shared" si="142"/>
        <v>-4.0638682782307756E-2</v>
      </c>
      <c r="P258" s="260">
        <f t="shared" si="142"/>
        <v>0</v>
      </c>
      <c r="Q258" s="260">
        <f t="shared" si="142"/>
        <v>0</v>
      </c>
      <c r="R258" s="260">
        <f t="shared" si="142"/>
        <v>2.4844658771034034E-2</v>
      </c>
      <c r="S258" s="260">
        <f t="shared" si="142"/>
        <v>3.6361123973032816E-2</v>
      </c>
      <c r="T258" s="31"/>
    </row>
    <row r="259" spans="1:20" ht="15" customHeight="1" outlineLevel="2">
      <c r="A259" s="218" t="s">
        <v>44</v>
      </c>
      <c r="B259" s="34" t="s">
        <v>182</v>
      </c>
      <c r="C259" s="204" t="s">
        <v>455</v>
      </c>
      <c r="D259" s="205" t="s">
        <v>242</v>
      </c>
      <c r="E259" s="261" t="s">
        <v>44</v>
      </c>
      <c r="F259" s="262">
        <f t="shared" si="132"/>
        <v>0.32612845795678114</v>
      </c>
      <c r="G259" s="262">
        <f t="shared" si="132"/>
        <v>-0.25085889971443243</v>
      </c>
      <c r="H259" s="263">
        <f t="shared" si="111"/>
        <v>-0.2511828324181431</v>
      </c>
      <c r="I259" s="264">
        <f t="shared" ref="I259:S259" si="143">+IF(ISNONTEXT(H34),IF(H34&lt;&gt;0,I34/H34-1,""),"")</f>
        <v>1.4748096169945755</v>
      </c>
      <c r="J259" s="265">
        <f t="shared" si="143"/>
        <v>-0.80083648407643315</v>
      </c>
      <c r="K259" s="265">
        <f t="shared" si="143"/>
        <v>0.29596378978508153</v>
      </c>
      <c r="L259" s="265">
        <f t="shared" si="143"/>
        <v>0.28790516018860046</v>
      </c>
      <c r="M259" s="265">
        <f t="shared" si="143"/>
        <v>0.22354531147809031</v>
      </c>
      <c r="N259" s="265">
        <f t="shared" si="143"/>
        <v>-0.12397348227801852</v>
      </c>
      <c r="O259" s="265">
        <f t="shared" si="143"/>
        <v>-4.0638682782307756E-2</v>
      </c>
      <c r="P259" s="265">
        <f t="shared" si="143"/>
        <v>0</v>
      </c>
      <c r="Q259" s="265">
        <f t="shared" si="143"/>
        <v>0</v>
      </c>
      <c r="R259" s="265">
        <f t="shared" si="143"/>
        <v>2.4844658771034034E-2</v>
      </c>
      <c r="S259" s="265">
        <f t="shared" si="143"/>
        <v>3.6361123973032816E-2</v>
      </c>
    </row>
    <row r="260" spans="1:20" ht="62.25" customHeight="1" outlineLevel="3">
      <c r="A260" s="218" t="s">
        <v>44</v>
      </c>
      <c r="B260" s="34" t="s">
        <v>95</v>
      </c>
      <c r="C260" s="204" t="s">
        <v>419</v>
      </c>
      <c r="D260" s="206" t="s">
        <v>419</v>
      </c>
      <c r="E260" s="261" t="s">
        <v>44</v>
      </c>
      <c r="F260" s="262" t="str">
        <f t="shared" si="132"/>
        <v/>
      </c>
      <c r="G260" s="262" t="str">
        <f t="shared" si="132"/>
        <v/>
      </c>
      <c r="H260" s="263" t="str">
        <f t="shared" si="111"/>
        <v/>
      </c>
      <c r="I260" s="264" t="str">
        <f t="shared" ref="I260:S260" si="144">+IF(ISNONTEXT(H35),IF(H35&lt;&gt;0,I35/H35-1,""),"")</f>
        <v/>
      </c>
      <c r="J260" s="265" t="str">
        <f t="shared" si="144"/>
        <v/>
      </c>
      <c r="K260" s="265" t="str">
        <f t="shared" si="144"/>
        <v/>
      </c>
      <c r="L260" s="265" t="str">
        <f t="shared" si="144"/>
        <v/>
      </c>
      <c r="M260" s="265" t="str">
        <f t="shared" si="144"/>
        <v/>
      </c>
      <c r="N260" s="265" t="str">
        <f t="shared" si="144"/>
        <v/>
      </c>
      <c r="O260" s="265" t="str">
        <f t="shared" si="144"/>
        <v/>
      </c>
      <c r="P260" s="265" t="str">
        <f t="shared" si="144"/>
        <v/>
      </c>
      <c r="Q260" s="265" t="str">
        <f t="shared" si="144"/>
        <v/>
      </c>
      <c r="R260" s="265" t="str">
        <f t="shared" si="144"/>
        <v/>
      </c>
      <c r="S260" s="265" t="str">
        <f t="shared" si="144"/>
        <v/>
      </c>
    </row>
    <row r="261" spans="1:20" ht="25.5" customHeight="1" outlineLevel="3">
      <c r="A261" s="218" t="s">
        <v>44</v>
      </c>
      <c r="B261" s="34" t="s">
        <v>97</v>
      </c>
      <c r="C261" s="204" t="s">
        <v>243</v>
      </c>
      <c r="D261" s="207" t="s">
        <v>243</v>
      </c>
      <c r="E261" s="261" t="s">
        <v>44</v>
      </c>
      <c r="F261" s="262" t="str">
        <f t="shared" si="132"/>
        <v/>
      </c>
      <c r="G261" s="262" t="str">
        <f t="shared" si="132"/>
        <v/>
      </c>
      <c r="H261" s="263" t="str">
        <f t="shared" si="111"/>
        <v/>
      </c>
      <c r="I261" s="264" t="str">
        <f t="shared" ref="I261:S261" si="145">+IF(ISNONTEXT(H36),IF(H36&lt;&gt;0,I36/H36-1,""),"")</f>
        <v/>
      </c>
      <c r="J261" s="265" t="str">
        <f t="shared" si="145"/>
        <v/>
      </c>
      <c r="K261" s="265" t="str">
        <f t="shared" si="145"/>
        <v/>
      </c>
      <c r="L261" s="265" t="str">
        <f t="shared" si="145"/>
        <v/>
      </c>
      <c r="M261" s="265" t="str">
        <f t="shared" si="145"/>
        <v/>
      </c>
      <c r="N261" s="265" t="str">
        <f t="shared" si="145"/>
        <v/>
      </c>
      <c r="O261" s="265" t="str">
        <f t="shared" si="145"/>
        <v/>
      </c>
      <c r="P261" s="265" t="str">
        <f t="shared" si="145"/>
        <v/>
      </c>
      <c r="Q261" s="265" t="str">
        <f t="shared" si="145"/>
        <v/>
      </c>
      <c r="R261" s="265" t="str">
        <f t="shared" si="145"/>
        <v/>
      </c>
      <c r="S261" s="265" t="str">
        <f t="shared" si="145"/>
        <v/>
      </c>
    </row>
    <row r="262" spans="1:20" ht="15" customHeight="1" outlineLevel="2">
      <c r="B262" s="34" t="s">
        <v>183</v>
      </c>
      <c r="C262" s="204" t="s">
        <v>244</v>
      </c>
      <c r="D262" s="205" t="s">
        <v>244</v>
      </c>
      <c r="E262" s="261" t="s">
        <v>44</v>
      </c>
      <c r="F262" s="262" t="str">
        <f t="shared" si="132"/>
        <v/>
      </c>
      <c r="G262" s="262" t="str">
        <f t="shared" si="132"/>
        <v/>
      </c>
      <c r="H262" s="263" t="str">
        <f t="shared" si="111"/>
        <v/>
      </c>
      <c r="I262" s="264" t="str">
        <f t="shared" ref="I262:S262" si="146">+IF(ISNONTEXT(H37),IF(H37&lt;&gt;0,I37/H37-1,""),"")</f>
        <v/>
      </c>
      <c r="J262" s="265" t="str">
        <f t="shared" si="146"/>
        <v/>
      </c>
      <c r="K262" s="265" t="str">
        <f t="shared" si="146"/>
        <v/>
      </c>
      <c r="L262" s="265" t="str">
        <f t="shared" si="146"/>
        <v/>
      </c>
      <c r="M262" s="265" t="str">
        <f t="shared" si="146"/>
        <v/>
      </c>
      <c r="N262" s="265" t="str">
        <f t="shared" si="146"/>
        <v/>
      </c>
      <c r="O262" s="265" t="str">
        <f t="shared" si="146"/>
        <v/>
      </c>
      <c r="P262" s="265" t="str">
        <f t="shared" si="146"/>
        <v/>
      </c>
      <c r="Q262" s="265" t="str">
        <f t="shared" si="146"/>
        <v/>
      </c>
      <c r="R262" s="265" t="str">
        <f t="shared" si="146"/>
        <v/>
      </c>
      <c r="S262" s="265" t="str">
        <f t="shared" si="146"/>
        <v/>
      </c>
    </row>
    <row r="263" spans="1:20" ht="15" customHeight="1" outlineLevel="1">
      <c r="A263" s="218" t="s">
        <v>44</v>
      </c>
      <c r="B263" s="33">
        <v>6</v>
      </c>
      <c r="C263" s="219" t="s">
        <v>40</v>
      </c>
      <c r="D263" s="203" t="s">
        <v>40</v>
      </c>
      <c r="E263" s="256" t="s">
        <v>44</v>
      </c>
      <c r="F263" s="257">
        <f t="shared" si="132"/>
        <v>8.2379565547934464E-2</v>
      </c>
      <c r="G263" s="257">
        <f t="shared" si="132"/>
        <v>0.13768675895243176</v>
      </c>
      <c r="H263" s="258">
        <f t="shared" si="111"/>
        <v>0.11482530823260162</v>
      </c>
      <c r="I263" s="259">
        <f t="shared" ref="I263:S263" si="147">+IF(ISNONTEXT(H38),IF(H38&lt;&gt;0,I38/H38-1,""),"")</f>
        <v>0</v>
      </c>
      <c r="J263" s="260">
        <f t="shared" si="147"/>
        <v>-6.0506862142400419E-2</v>
      </c>
      <c r="K263" s="260">
        <f t="shared" si="147"/>
        <v>-8.3464901669089264E-2</v>
      </c>
      <c r="L263" s="260">
        <f t="shared" si="147"/>
        <v>-0.11728397281240155</v>
      </c>
      <c r="M263" s="260">
        <f t="shared" si="147"/>
        <v>-0.16256899232174016</v>
      </c>
      <c r="N263" s="260">
        <f t="shared" si="147"/>
        <v>-0.17006147005234984</v>
      </c>
      <c r="O263" s="260">
        <f t="shared" si="147"/>
        <v>-0.19658130094007142</v>
      </c>
      <c r="P263" s="260">
        <f t="shared" si="147"/>
        <v>-0.24468101273979437</v>
      </c>
      <c r="Q263" s="260">
        <f t="shared" si="147"/>
        <v>-0.32394394536185855</v>
      </c>
      <c r="R263" s="260">
        <f t="shared" si="147"/>
        <v>-0.49107203443805425</v>
      </c>
      <c r="S263" s="260">
        <f t="shared" si="147"/>
        <v>-1</v>
      </c>
      <c r="T263" s="31"/>
    </row>
    <row r="264" spans="1:20" ht="25.5" customHeight="1" outlineLevel="2">
      <c r="B264" s="34" t="s">
        <v>184</v>
      </c>
      <c r="C264" s="204" t="s">
        <v>420</v>
      </c>
      <c r="D264" s="205" t="s">
        <v>420</v>
      </c>
      <c r="E264" s="261" t="s">
        <v>44</v>
      </c>
      <c r="F264" s="262" t="str">
        <f t="shared" si="132"/>
        <v/>
      </c>
      <c r="G264" s="262" t="str">
        <f t="shared" si="132"/>
        <v/>
      </c>
      <c r="H264" s="263" t="str">
        <f t="shared" si="111"/>
        <v/>
      </c>
      <c r="I264" s="264" t="str">
        <f t="shared" ref="I264:S264" si="148">+IF(ISNONTEXT(H39),IF(H39&lt;&gt;0,I39/H39-1,""),"")</f>
        <v/>
      </c>
      <c r="J264" s="265" t="str">
        <f t="shared" si="148"/>
        <v/>
      </c>
      <c r="K264" s="265" t="str">
        <f t="shared" si="148"/>
        <v/>
      </c>
      <c r="L264" s="265" t="str">
        <f t="shared" si="148"/>
        <v/>
      </c>
      <c r="M264" s="265" t="str">
        <f t="shared" si="148"/>
        <v/>
      </c>
      <c r="N264" s="265" t="str">
        <f t="shared" si="148"/>
        <v/>
      </c>
      <c r="O264" s="265" t="str">
        <f t="shared" si="148"/>
        <v/>
      </c>
      <c r="P264" s="265" t="str">
        <f t="shared" si="148"/>
        <v/>
      </c>
      <c r="Q264" s="265" t="str">
        <f t="shared" si="148"/>
        <v/>
      </c>
      <c r="R264" s="265" t="str">
        <f t="shared" si="148"/>
        <v/>
      </c>
      <c r="S264" s="265" t="str">
        <f t="shared" si="148"/>
        <v/>
      </c>
    </row>
    <row r="265" spans="1:20" ht="15" customHeight="1" outlineLevel="3">
      <c r="B265" s="34" t="s">
        <v>101</v>
      </c>
      <c r="C265" s="204" t="s">
        <v>406</v>
      </c>
      <c r="D265" s="206" t="s">
        <v>406</v>
      </c>
      <c r="E265" s="261" t="s">
        <v>44</v>
      </c>
      <c r="F265" s="262" t="str">
        <f t="shared" si="132"/>
        <v/>
      </c>
      <c r="G265" s="262" t="str">
        <f t="shared" si="132"/>
        <v/>
      </c>
      <c r="H265" s="263" t="str">
        <f t="shared" si="111"/>
        <v/>
      </c>
      <c r="I265" s="264" t="str">
        <f t="shared" ref="I265:S265" si="149">+IF(ISNONTEXT(H40),IF(H40&lt;&gt;0,I40/H40-1,""),"")</f>
        <v/>
      </c>
      <c r="J265" s="265" t="str">
        <f t="shared" si="149"/>
        <v/>
      </c>
      <c r="K265" s="265" t="str">
        <f t="shared" si="149"/>
        <v/>
      </c>
      <c r="L265" s="265" t="str">
        <f t="shared" si="149"/>
        <v/>
      </c>
      <c r="M265" s="265" t="str">
        <f t="shared" si="149"/>
        <v/>
      </c>
      <c r="N265" s="265" t="str">
        <f t="shared" si="149"/>
        <v/>
      </c>
      <c r="O265" s="265" t="str">
        <f t="shared" si="149"/>
        <v/>
      </c>
      <c r="P265" s="265" t="str">
        <f t="shared" si="149"/>
        <v/>
      </c>
      <c r="Q265" s="265" t="str">
        <f t="shared" si="149"/>
        <v/>
      </c>
      <c r="R265" s="265" t="str">
        <f t="shared" si="149"/>
        <v/>
      </c>
      <c r="S265" s="265" t="str">
        <f t="shared" si="149"/>
        <v/>
      </c>
    </row>
    <row r="266" spans="1:20" ht="25.5" customHeight="1" outlineLevel="2">
      <c r="B266" s="34" t="s">
        <v>185</v>
      </c>
      <c r="C266" s="204" t="s">
        <v>458</v>
      </c>
      <c r="D266" s="205" t="s">
        <v>421</v>
      </c>
      <c r="E266" s="261" t="s">
        <v>44</v>
      </c>
      <c r="F266" s="262">
        <f t="shared" si="132"/>
        <v>9.7035040431266761E-2</v>
      </c>
      <c r="G266" s="262">
        <f t="shared" si="132"/>
        <v>-8.0410989501898955E-3</v>
      </c>
      <c r="H266" s="263">
        <f t="shared" si="111"/>
        <v>5.5840964931874737E-3</v>
      </c>
      <c r="I266" s="264">
        <f t="shared" ref="I266:S266" si="150">+IF(ISNONTEXT(H41),IF(H41&lt;&gt;0,I41/H41-1,""),"")</f>
        <v>-7.2856508218569482E-2</v>
      </c>
      <c r="J266" s="265">
        <f t="shared" si="150"/>
        <v>0.10781025395304256</v>
      </c>
      <c r="K266" s="265">
        <f t="shared" si="150"/>
        <v>-8.347750865051895E-2</v>
      </c>
      <c r="L266" s="265">
        <f t="shared" si="150"/>
        <v>-0.1172722982538934</v>
      </c>
      <c r="M266" s="265">
        <f t="shared" si="150"/>
        <v>-0.17562149157979146</v>
      </c>
      <c r="N266" s="265">
        <f t="shared" si="150"/>
        <v>-0.18287937743190663</v>
      </c>
      <c r="O266" s="265">
        <f t="shared" si="150"/>
        <v>-0.20873015873015877</v>
      </c>
      <c r="P266" s="265">
        <f t="shared" si="150"/>
        <v>-0.25576730190571706</v>
      </c>
      <c r="Q266" s="265">
        <f t="shared" si="150"/>
        <v>-0.33423180592991919</v>
      </c>
      <c r="R266" s="265">
        <f t="shared" si="150"/>
        <v>-0.49797570850202433</v>
      </c>
      <c r="S266" s="265">
        <f t="shared" si="150"/>
        <v>-1</v>
      </c>
    </row>
    <row r="267" spans="1:20" ht="25.5" customHeight="1" outlineLevel="2">
      <c r="B267" s="34" t="s">
        <v>186</v>
      </c>
      <c r="C267" s="204" t="s">
        <v>459</v>
      </c>
      <c r="D267" s="205" t="s">
        <v>422</v>
      </c>
      <c r="E267" s="261" t="s">
        <v>44</v>
      </c>
      <c r="F267" s="262">
        <f t="shared" si="132"/>
        <v>9.7035040431266761E-2</v>
      </c>
      <c r="G267" s="262">
        <f t="shared" si="132"/>
        <v>-8.0410989501898955E-3</v>
      </c>
      <c r="H267" s="263">
        <f t="shared" si="111"/>
        <v>5.5840964931874737E-3</v>
      </c>
      <c r="I267" s="264">
        <f t="shared" ref="I267:S267" si="151">+IF(ISNONTEXT(H42),IF(H42&lt;&gt;0,I42/H42-1,""),"")</f>
        <v>-7.2856508218569482E-2</v>
      </c>
      <c r="J267" s="265">
        <f t="shared" si="151"/>
        <v>0.10781025395304256</v>
      </c>
      <c r="K267" s="265">
        <f t="shared" si="151"/>
        <v>-8.347750865051895E-2</v>
      </c>
      <c r="L267" s="265">
        <f t="shared" si="151"/>
        <v>-0.1172722982538934</v>
      </c>
      <c r="M267" s="265">
        <f t="shared" si="151"/>
        <v>-0.17562149157979146</v>
      </c>
      <c r="N267" s="265">
        <f t="shared" si="151"/>
        <v>-0.18287937743190663</v>
      </c>
      <c r="O267" s="265">
        <f t="shared" si="151"/>
        <v>-0.20873015873015877</v>
      </c>
      <c r="P267" s="265">
        <f t="shared" si="151"/>
        <v>-0.25576730190571706</v>
      </c>
      <c r="Q267" s="265">
        <f t="shared" si="151"/>
        <v>-0.33423180592991919</v>
      </c>
      <c r="R267" s="265">
        <f t="shared" si="151"/>
        <v>-0.49797570850202433</v>
      </c>
      <c r="S267" s="265">
        <f t="shared" si="151"/>
        <v>-1</v>
      </c>
    </row>
    <row r="268" spans="1:20" ht="39" customHeight="1" outlineLevel="1">
      <c r="B268" s="33">
        <v>7</v>
      </c>
      <c r="C268" s="219" t="s">
        <v>283</v>
      </c>
      <c r="D268" s="203" t="s">
        <v>283</v>
      </c>
      <c r="E268" s="256" t="s">
        <v>44</v>
      </c>
      <c r="F268" s="257" t="str">
        <f t="shared" si="132"/>
        <v/>
      </c>
      <c r="G268" s="257" t="str">
        <f t="shared" si="132"/>
        <v/>
      </c>
      <c r="H268" s="258" t="str">
        <f t="shared" si="111"/>
        <v/>
      </c>
      <c r="I268" s="259" t="str">
        <f t="shared" ref="I268:S268" si="152">+IF(ISNONTEXT(H43),IF(H43&lt;&gt;0,I43/H43-1,""),"")</f>
        <v/>
      </c>
      <c r="J268" s="260" t="str">
        <f t="shared" si="152"/>
        <v/>
      </c>
      <c r="K268" s="260" t="str">
        <f t="shared" si="152"/>
        <v/>
      </c>
      <c r="L268" s="260" t="str">
        <f t="shared" si="152"/>
        <v/>
      </c>
      <c r="M268" s="260" t="str">
        <f t="shared" si="152"/>
        <v/>
      </c>
      <c r="N268" s="260" t="str">
        <f t="shared" si="152"/>
        <v/>
      </c>
      <c r="O268" s="260" t="str">
        <f t="shared" si="152"/>
        <v/>
      </c>
      <c r="P268" s="260" t="str">
        <f t="shared" si="152"/>
        <v/>
      </c>
      <c r="Q268" s="260" t="str">
        <f t="shared" si="152"/>
        <v/>
      </c>
      <c r="R268" s="260" t="str">
        <f t="shared" si="152"/>
        <v/>
      </c>
      <c r="S268" s="260" t="str">
        <f t="shared" si="152"/>
        <v/>
      </c>
      <c r="T268" s="31"/>
    </row>
    <row r="269" spans="1:20" ht="15" customHeight="1" outlineLevel="1">
      <c r="B269" s="33">
        <v>8</v>
      </c>
      <c r="C269" s="219" t="s">
        <v>187</v>
      </c>
      <c r="D269" s="203" t="s">
        <v>187</v>
      </c>
      <c r="E269" s="256" t="s">
        <v>44</v>
      </c>
      <c r="F269" s="267" t="str">
        <f t="shared" ref="F269:G271" si="153">+IF(ISNONTEXT(E44),IF(E44&lt;&gt;0,F44/E44-1,""),"")</f>
        <v/>
      </c>
      <c r="G269" s="267" t="str">
        <f t="shared" si="153"/>
        <v/>
      </c>
      <c r="H269" s="258" t="str">
        <f t="shared" si="111"/>
        <v/>
      </c>
      <c r="I269" s="268" t="str">
        <f t="shared" ref="I269:S269" si="154">+IF(ISNONTEXT(H44),IF(H44&lt;&gt;0,I44/H44-1,""),"")</f>
        <v/>
      </c>
      <c r="J269" s="269" t="str">
        <f t="shared" si="154"/>
        <v/>
      </c>
      <c r="K269" s="269" t="str">
        <f t="shared" si="154"/>
        <v/>
      </c>
      <c r="L269" s="269" t="str">
        <f t="shared" si="154"/>
        <v/>
      </c>
      <c r="M269" s="269" t="str">
        <f t="shared" si="154"/>
        <v/>
      </c>
      <c r="N269" s="269" t="str">
        <f t="shared" si="154"/>
        <v/>
      </c>
      <c r="O269" s="269" t="str">
        <f t="shared" si="154"/>
        <v/>
      </c>
      <c r="P269" s="269" t="str">
        <f t="shared" si="154"/>
        <v/>
      </c>
      <c r="Q269" s="269" t="str">
        <f t="shared" si="154"/>
        <v/>
      </c>
      <c r="R269" s="269" t="str">
        <f t="shared" si="154"/>
        <v/>
      </c>
      <c r="S269" s="269" t="str">
        <f t="shared" si="154"/>
        <v/>
      </c>
      <c r="T269" s="31"/>
    </row>
    <row r="270" spans="1:20" ht="15" customHeight="1" outlineLevel="2">
      <c r="B270" s="34" t="s">
        <v>188</v>
      </c>
      <c r="C270" s="204" t="s">
        <v>282</v>
      </c>
      <c r="D270" s="205" t="s">
        <v>282</v>
      </c>
      <c r="E270" s="261" t="s">
        <v>44</v>
      </c>
      <c r="F270" s="262">
        <f t="shared" si="153"/>
        <v>2.3278290917352042</v>
      </c>
      <c r="G270" s="262">
        <f t="shared" si="153"/>
        <v>-0.69463360919235062</v>
      </c>
      <c r="H270" s="263">
        <f t="shared" si="111"/>
        <v>0.15312406280283897</v>
      </c>
      <c r="I270" s="264">
        <f t="shared" ref="I270:S270" si="155">+IF(ISNONTEXT(H45),IF(H45&lt;&gt;0,I45/H45-1,""),"")</f>
        <v>-0.57196235133483331</v>
      </c>
      <c r="J270" s="265">
        <f t="shared" si="155"/>
        <v>3.1004642252394126</v>
      </c>
      <c r="K270" s="265">
        <f t="shared" si="155"/>
        <v>-5.865867005790748E-2</v>
      </c>
      <c r="L270" s="265">
        <f t="shared" si="155"/>
        <v>-6.2068965517241392E-2</v>
      </c>
      <c r="M270" s="265">
        <f t="shared" si="155"/>
        <v>3.1862745098039325E-2</v>
      </c>
      <c r="N270" s="265">
        <f t="shared" si="155"/>
        <v>1.4251781472684133E-2</v>
      </c>
      <c r="O270" s="265">
        <f t="shared" si="155"/>
        <v>1.4051522248243575E-2</v>
      </c>
      <c r="P270" s="265">
        <f t="shared" si="155"/>
        <v>6.9284064665127154E-3</v>
      </c>
      <c r="Q270" s="265">
        <f t="shared" si="155"/>
        <v>6.8807339449541427E-3</v>
      </c>
      <c r="R270" s="265">
        <f t="shared" si="155"/>
        <v>1.1389521640091216E-2</v>
      </c>
      <c r="S270" s="265">
        <f t="shared" si="155"/>
        <v>0</v>
      </c>
    </row>
    <row r="271" spans="1:20" ht="39" customHeight="1" outlineLevel="2">
      <c r="B271" s="34" t="s">
        <v>189</v>
      </c>
      <c r="C271" s="204" t="s">
        <v>423</v>
      </c>
      <c r="D271" s="205" t="s">
        <v>423</v>
      </c>
      <c r="E271" s="261" t="s">
        <v>44</v>
      </c>
      <c r="F271" s="262">
        <f t="shared" si="153"/>
        <v>2.3278290917352042</v>
      </c>
      <c r="G271" s="262">
        <f t="shared" si="153"/>
        <v>0.60036692196131769</v>
      </c>
      <c r="H271" s="263">
        <f t="shared" si="111"/>
        <v>1.4481245939565071</v>
      </c>
      <c r="I271" s="264">
        <f t="shared" ref="I271:S271" si="156">+IF(ISNONTEXT(H46),IF(H46&lt;&gt;0,I46/H46-1,""),"")</f>
        <v>-0.33191294982691233</v>
      </c>
      <c r="J271" s="265">
        <f t="shared" si="156"/>
        <v>0.2374408855882888</v>
      </c>
      <c r="K271" s="265">
        <f t="shared" si="156"/>
        <v>-5.865867005790748E-2</v>
      </c>
      <c r="L271" s="265">
        <f t="shared" si="156"/>
        <v>-6.2068965517241392E-2</v>
      </c>
      <c r="M271" s="265">
        <f t="shared" si="156"/>
        <v>3.1862745098039325E-2</v>
      </c>
      <c r="N271" s="265">
        <f t="shared" si="156"/>
        <v>1.4251781472684133E-2</v>
      </c>
      <c r="O271" s="265">
        <f t="shared" si="156"/>
        <v>1.4051522248243575E-2</v>
      </c>
      <c r="P271" s="265">
        <f t="shared" si="156"/>
        <v>6.9284064665127154E-3</v>
      </c>
      <c r="Q271" s="265">
        <f t="shared" si="156"/>
        <v>6.8807339449541427E-3</v>
      </c>
      <c r="R271" s="265">
        <f t="shared" si="156"/>
        <v>1.1389521640091216E-2</v>
      </c>
      <c r="S271" s="265">
        <f t="shared" si="156"/>
        <v>0</v>
      </c>
    </row>
    <row r="272" spans="1:20" ht="15" customHeight="1" outlineLevel="1">
      <c r="A272" s="218" t="s">
        <v>44</v>
      </c>
      <c r="B272" s="33">
        <v>9</v>
      </c>
      <c r="C272" s="219" t="s">
        <v>190</v>
      </c>
      <c r="D272" s="203" t="s">
        <v>190</v>
      </c>
      <c r="E272" s="256" t="s">
        <v>44</v>
      </c>
      <c r="F272" s="267" t="s">
        <v>44</v>
      </c>
      <c r="G272" s="267" t="s">
        <v>44</v>
      </c>
      <c r="H272" s="258" t="s">
        <v>44</v>
      </c>
      <c r="I272" s="268" t="s">
        <v>44</v>
      </c>
      <c r="J272" s="269" t="s">
        <v>44</v>
      </c>
      <c r="K272" s="269" t="s">
        <v>44</v>
      </c>
      <c r="L272" s="269" t="s">
        <v>44</v>
      </c>
      <c r="M272" s="269" t="s">
        <v>44</v>
      </c>
      <c r="N272" s="269" t="s">
        <v>44</v>
      </c>
      <c r="O272" s="269" t="s">
        <v>44</v>
      </c>
      <c r="P272" s="269" t="s">
        <v>44</v>
      </c>
      <c r="Q272" s="269" t="s">
        <v>44</v>
      </c>
      <c r="R272" s="269" t="s">
        <v>44</v>
      </c>
      <c r="S272" s="269" t="s">
        <v>44</v>
      </c>
      <c r="T272" s="31"/>
    </row>
    <row r="273" spans="1:20" ht="25.5" customHeight="1" outlineLevel="2">
      <c r="B273" s="34" t="s">
        <v>191</v>
      </c>
      <c r="C273" s="204" t="s">
        <v>457</v>
      </c>
      <c r="D273" s="205" t="s">
        <v>424</v>
      </c>
      <c r="E273" s="261" t="s">
        <v>44</v>
      </c>
      <c r="F273" s="266" t="s">
        <v>44</v>
      </c>
      <c r="G273" s="266" t="s">
        <v>44</v>
      </c>
      <c r="H273" s="263" t="s">
        <v>44</v>
      </c>
      <c r="I273" s="270" t="s">
        <v>44</v>
      </c>
      <c r="J273" s="271" t="s">
        <v>44</v>
      </c>
      <c r="K273" s="271" t="s">
        <v>44</v>
      </c>
      <c r="L273" s="271" t="s">
        <v>44</v>
      </c>
      <c r="M273" s="271" t="s">
        <v>44</v>
      </c>
      <c r="N273" s="271" t="s">
        <v>44</v>
      </c>
      <c r="O273" s="271" t="s">
        <v>44</v>
      </c>
      <c r="P273" s="271" t="s">
        <v>44</v>
      </c>
      <c r="Q273" s="271" t="s">
        <v>44</v>
      </c>
      <c r="R273" s="271" t="s">
        <v>44</v>
      </c>
      <c r="S273" s="271" t="s">
        <v>44</v>
      </c>
    </row>
    <row r="274" spans="1:20" ht="25.5" customHeight="1" outlineLevel="2">
      <c r="B274" s="34" t="s">
        <v>192</v>
      </c>
      <c r="C274" s="204" t="s">
        <v>456</v>
      </c>
      <c r="D274" s="205" t="s">
        <v>245</v>
      </c>
      <c r="E274" s="261" t="s">
        <v>44</v>
      </c>
      <c r="F274" s="266" t="s">
        <v>44</v>
      </c>
      <c r="G274" s="266" t="s">
        <v>44</v>
      </c>
      <c r="H274" s="263" t="s">
        <v>44</v>
      </c>
      <c r="I274" s="270" t="s">
        <v>44</v>
      </c>
      <c r="J274" s="271" t="s">
        <v>44</v>
      </c>
      <c r="K274" s="271" t="s">
        <v>44</v>
      </c>
      <c r="L274" s="271" t="s">
        <v>44</v>
      </c>
      <c r="M274" s="271" t="s">
        <v>44</v>
      </c>
      <c r="N274" s="271" t="s">
        <v>44</v>
      </c>
      <c r="O274" s="271" t="s">
        <v>44</v>
      </c>
      <c r="P274" s="271" t="s">
        <v>44</v>
      </c>
      <c r="Q274" s="271" t="s">
        <v>44</v>
      </c>
      <c r="R274" s="271" t="s">
        <v>44</v>
      </c>
      <c r="S274" s="271" t="s">
        <v>44</v>
      </c>
    </row>
    <row r="275" spans="1:20" ht="38.25" customHeight="1" outlineLevel="2">
      <c r="A275" s="218" t="s">
        <v>44</v>
      </c>
      <c r="B275" s="34" t="s">
        <v>193</v>
      </c>
      <c r="C275" s="204" t="s">
        <v>462</v>
      </c>
      <c r="D275" s="205" t="s">
        <v>247</v>
      </c>
      <c r="E275" s="261" t="s">
        <v>44</v>
      </c>
      <c r="F275" s="266" t="s">
        <v>44</v>
      </c>
      <c r="G275" s="266" t="s">
        <v>44</v>
      </c>
      <c r="H275" s="263" t="s">
        <v>44</v>
      </c>
      <c r="I275" s="270" t="s">
        <v>44</v>
      </c>
      <c r="J275" s="271" t="s">
        <v>44</v>
      </c>
      <c r="K275" s="271" t="s">
        <v>44</v>
      </c>
      <c r="L275" s="271" t="s">
        <v>44</v>
      </c>
      <c r="M275" s="271" t="s">
        <v>44</v>
      </c>
      <c r="N275" s="271" t="s">
        <v>44</v>
      </c>
      <c r="O275" s="271" t="s">
        <v>44</v>
      </c>
      <c r="P275" s="271" t="s">
        <v>44</v>
      </c>
      <c r="Q275" s="271" t="s">
        <v>44</v>
      </c>
      <c r="R275" s="271" t="s">
        <v>44</v>
      </c>
      <c r="S275" s="271" t="s">
        <v>44</v>
      </c>
    </row>
    <row r="276" spans="1:20" ht="38.25" customHeight="1" outlineLevel="2">
      <c r="A276" s="218" t="s">
        <v>44</v>
      </c>
      <c r="B276" s="34" t="s">
        <v>194</v>
      </c>
      <c r="C276" s="204" t="s">
        <v>246</v>
      </c>
      <c r="D276" s="205" t="s">
        <v>246</v>
      </c>
      <c r="E276" s="261" t="s">
        <v>44</v>
      </c>
      <c r="F276" s="266" t="s">
        <v>44</v>
      </c>
      <c r="G276" s="266" t="s">
        <v>44</v>
      </c>
      <c r="H276" s="263" t="s">
        <v>44</v>
      </c>
      <c r="I276" s="270" t="s">
        <v>44</v>
      </c>
      <c r="J276" s="271" t="s">
        <v>44</v>
      </c>
      <c r="K276" s="271" t="s">
        <v>44</v>
      </c>
      <c r="L276" s="271" t="s">
        <v>44</v>
      </c>
      <c r="M276" s="271" t="s">
        <v>44</v>
      </c>
      <c r="N276" s="271" t="s">
        <v>44</v>
      </c>
      <c r="O276" s="271" t="s">
        <v>44</v>
      </c>
      <c r="P276" s="271" t="s">
        <v>44</v>
      </c>
      <c r="Q276" s="271" t="s">
        <v>44</v>
      </c>
      <c r="R276" s="271" t="s">
        <v>44</v>
      </c>
      <c r="S276" s="271" t="s">
        <v>44</v>
      </c>
    </row>
    <row r="277" spans="1:20" ht="25.5" customHeight="1" outlineLevel="2">
      <c r="A277" s="218" t="s">
        <v>44</v>
      </c>
      <c r="B277" s="34" t="s">
        <v>195</v>
      </c>
      <c r="C277" s="204" t="s">
        <v>248</v>
      </c>
      <c r="D277" s="205" t="s">
        <v>248</v>
      </c>
      <c r="E277" s="261" t="s">
        <v>44</v>
      </c>
      <c r="F277" s="262" t="str">
        <f>+IF(ISNONTEXT(E52),IF(E52&lt;&gt;0,F52/E52-1,""),"")</f>
        <v/>
      </c>
      <c r="G277" s="262" t="str">
        <f>+IF(ISNONTEXT(F52),IF(F52&lt;&gt;0,G52/F52-1,""),"")</f>
        <v/>
      </c>
      <c r="H277" s="263" t="str">
        <f>+IF(ISNONTEXT(F52),IF(F52&lt;&gt;0,H52/F52-1,""),"")</f>
        <v/>
      </c>
      <c r="I277" s="264" t="str">
        <f t="shared" ref="I277:S277" si="157">+IF(ISNONTEXT(H52),IF(H52&lt;&gt;0,I52/H52-1,""),"")</f>
        <v/>
      </c>
      <c r="J277" s="265" t="str">
        <f t="shared" si="157"/>
        <v/>
      </c>
      <c r="K277" s="265" t="str">
        <f t="shared" si="157"/>
        <v/>
      </c>
      <c r="L277" s="265" t="str">
        <f t="shared" si="157"/>
        <v/>
      </c>
      <c r="M277" s="265" t="str">
        <f t="shared" si="157"/>
        <v/>
      </c>
      <c r="N277" s="265" t="str">
        <f t="shared" si="157"/>
        <v/>
      </c>
      <c r="O277" s="265" t="str">
        <f t="shared" si="157"/>
        <v/>
      </c>
      <c r="P277" s="265" t="str">
        <f t="shared" si="157"/>
        <v/>
      </c>
      <c r="Q277" s="265" t="str">
        <f t="shared" si="157"/>
        <v/>
      </c>
      <c r="R277" s="265" t="str">
        <f t="shared" si="157"/>
        <v/>
      </c>
      <c r="S277" s="265" t="str">
        <f t="shared" si="157"/>
        <v/>
      </c>
    </row>
    <row r="278" spans="1:20" ht="38.25" customHeight="1" outlineLevel="2">
      <c r="A278" s="218" t="s">
        <v>44</v>
      </c>
      <c r="B278" s="34" t="s">
        <v>196</v>
      </c>
      <c r="C278" s="204" t="s">
        <v>463</v>
      </c>
      <c r="D278" s="205" t="s">
        <v>249</v>
      </c>
      <c r="E278" s="261" t="s">
        <v>44</v>
      </c>
      <c r="F278" s="266" t="s">
        <v>44</v>
      </c>
      <c r="G278" s="266" t="s">
        <v>44</v>
      </c>
      <c r="H278" s="263" t="s">
        <v>44</v>
      </c>
      <c r="I278" s="270" t="s">
        <v>44</v>
      </c>
      <c r="J278" s="271" t="s">
        <v>44</v>
      </c>
      <c r="K278" s="271" t="s">
        <v>44</v>
      </c>
      <c r="L278" s="271" t="s">
        <v>44</v>
      </c>
      <c r="M278" s="271" t="s">
        <v>44</v>
      </c>
      <c r="N278" s="271" t="s">
        <v>44</v>
      </c>
      <c r="O278" s="271" t="s">
        <v>44</v>
      </c>
      <c r="P278" s="271" t="s">
        <v>44</v>
      </c>
      <c r="Q278" s="271" t="s">
        <v>44</v>
      </c>
      <c r="R278" s="271" t="s">
        <v>44</v>
      </c>
      <c r="S278" s="271" t="s">
        <v>44</v>
      </c>
    </row>
    <row r="279" spans="1:20" ht="15" customHeight="1" outlineLevel="3">
      <c r="A279" s="218" t="s">
        <v>44</v>
      </c>
      <c r="B279" s="79" t="s">
        <v>113</v>
      </c>
      <c r="C279" s="80" t="s">
        <v>415</v>
      </c>
      <c r="D279" s="214" t="s">
        <v>415</v>
      </c>
      <c r="E279" s="261" t="s">
        <v>44</v>
      </c>
      <c r="F279" s="266" t="s">
        <v>44</v>
      </c>
      <c r="G279" s="266" t="s">
        <v>44</v>
      </c>
      <c r="H279" s="263" t="s">
        <v>44</v>
      </c>
      <c r="I279" s="270" t="s">
        <v>44</v>
      </c>
      <c r="J279" s="271" t="s">
        <v>44</v>
      </c>
      <c r="K279" s="271" t="s">
        <v>44</v>
      </c>
      <c r="L279" s="271" t="s">
        <v>44</v>
      </c>
      <c r="M279" s="271" t="s">
        <v>44</v>
      </c>
      <c r="N279" s="271" t="s">
        <v>44</v>
      </c>
      <c r="O279" s="271" t="s">
        <v>44</v>
      </c>
      <c r="P279" s="271" t="s">
        <v>44</v>
      </c>
      <c r="Q279" s="271" t="s">
        <v>44</v>
      </c>
      <c r="R279" s="271" t="s">
        <v>44</v>
      </c>
      <c r="S279" s="271" t="s">
        <v>44</v>
      </c>
    </row>
    <row r="280" spans="1:20" ht="38.25" customHeight="1" outlineLevel="2">
      <c r="A280" s="218" t="s">
        <v>44</v>
      </c>
      <c r="B280" s="34" t="s">
        <v>197</v>
      </c>
      <c r="C280" s="204" t="s">
        <v>460</v>
      </c>
      <c r="D280" s="205" t="s">
        <v>425</v>
      </c>
      <c r="E280" s="261" t="s">
        <v>44</v>
      </c>
      <c r="F280" s="266" t="s">
        <v>44</v>
      </c>
      <c r="G280" s="266" t="s">
        <v>44</v>
      </c>
      <c r="H280" s="263" t="s">
        <v>44</v>
      </c>
      <c r="I280" s="270" t="s">
        <v>44</v>
      </c>
      <c r="J280" s="271" t="s">
        <v>44</v>
      </c>
      <c r="K280" s="271" t="s">
        <v>44</v>
      </c>
      <c r="L280" s="271" t="s">
        <v>44</v>
      </c>
      <c r="M280" s="271" t="s">
        <v>44</v>
      </c>
      <c r="N280" s="271" t="s">
        <v>44</v>
      </c>
      <c r="O280" s="271" t="s">
        <v>44</v>
      </c>
      <c r="P280" s="271" t="s">
        <v>44</v>
      </c>
      <c r="Q280" s="271" t="s">
        <v>44</v>
      </c>
      <c r="R280" s="271" t="s">
        <v>44</v>
      </c>
      <c r="S280" s="271" t="s">
        <v>44</v>
      </c>
    </row>
    <row r="281" spans="1:20" ht="38.25" customHeight="1" outlineLevel="2">
      <c r="A281" s="218" t="s">
        <v>44</v>
      </c>
      <c r="B281" s="34" t="s">
        <v>116</v>
      </c>
      <c r="C281" s="204" t="s">
        <v>461</v>
      </c>
      <c r="D281" s="206" t="s">
        <v>426</v>
      </c>
      <c r="E281" s="261" t="s">
        <v>44</v>
      </c>
      <c r="F281" s="266" t="s">
        <v>44</v>
      </c>
      <c r="G281" s="266" t="s">
        <v>44</v>
      </c>
      <c r="H281" s="263" t="s">
        <v>44</v>
      </c>
      <c r="I281" s="270" t="s">
        <v>44</v>
      </c>
      <c r="J281" s="271" t="s">
        <v>44</v>
      </c>
      <c r="K281" s="271" t="s">
        <v>44</v>
      </c>
      <c r="L281" s="271" t="s">
        <v>44</v>
      </c>
      <c r="M281" s="271" t="s">
        <v>44</v>
      </c>
      <c r="N281" s="271" t="s">
        <v>44</v>
      </c>
      <c r="O281" s="271" t="s">
        <v>44</v>
      </c>
      <c r="P281" s="271" t="s">
        <v>44</v>
      </c>
      <c r="Q281" s="271" t="s">
        <v>44</v>
      </c>
      <c r="R281" s="271" t="s">
        <v>44</v>
      </c>
      <c r="S281" s="271" t="s">
        <v>44</v>
      </c>
    </row>
    <row r="282" spans="1:20" ht="49.5" customHeight="1" outlineLevel="2">
      <c r="A282" s="218" t="s">
        <v>44</v>
      </c>
      <c r="B282" s="34" t="s">
        <v>198</v>
      </c>
      <c r="C282" s="204" t="s">
        <v>251</v>
      </c>
      <c r="D282" s="205" t="s">
        <v>251</v>
      </c>
      <c r="E282" s="261" t="s">
        <v>44</v>
      </c>
      <c r="F282" s="266" t="s">
        <v>44</v>
      </c>
      <c r="G282" s="266" t="s">
        <v>44</v>
      </c>
      <c r="H282" s="263" t="s">
        <v>44</v>
      </c>
      <c r="I282" s="270" t="s">
        <v>44</v>
      </c>
      <c r="J282" s="271" t="s">
        <v>44</v>
      </c>
      <c r="K282" s="271" t="s">
        <v>44</v>
      </c>
      <c r="L282" s="271" t="s">
        <v>44</v>
      </c>
      <c r="M282" s="271" t="s">
        <v>44</v>
      </c>
      <c r="N282" s="271" t="s">
        <v>44</v>
      </c>
      <c r="O282" s="271" t="s">
        <v>44</v>
      </c>
      <c r="P282" s="271" t="s">
        <v>44</v>
      </c>
      <c r="Q282" s="271" t="s">
        <v>44</v>
      </c>
      <c r="R282" s="271" t="s">
        <v>44</v>
      </c>
      <c r="S282" s="271" t="s">
        <v>44</v>
      </c>
    </row>
    <row r="283" spans="1:20" ht="49.5" customHeight="1" outlineLevel="2">
      <c r="A283" s="218" t="s">
        <v>44</v>
      </c>
      <c r="B283" s="34" t="s">
        <v>119</v>
      </c>
      <c r="C283" s="204" t="s">
        <v>250</v>
      </c>
      <c r="D283" s="206" t="s">
        <v>250</v>
      </c>
      <c r="E283" s="261" t="s">
        <v>44</v>
      </c>
      <c r="F283" s="266" t="s">
        <v>44</v>
      </c>
      <c r="G283" s="266" t="s">
        <v>44</v>
      </c>
      <c r="H283" s="263" t="s">
        <v>44</v>
      </c>
      <c r="I283" s="270" t="s">
        <v>44</v>
      </c>
      <c r="J283" s="271" t="s">
        <v>44</v>
      </c>
      <c r="K283" s="271" t="s">
        <v>44</v>
      </c>
      <c r="L283" s="271" t="s">
        <v>44</v>
      </c>
      <c r="M283" s="271" t="s">
        <v>44</v>
      </c>
      <c r="N283" s="271" t="s">
        <v>44</v>
      </c>
      <c r="O283" s="271" t="s">
        <v>44</v>
      </c>
      <c r="P283" s="271" t="s">
        <v>44</v>
      </c>
      <c r="Q283" s="271" t="s">
        <v>44</v>
      </c>
      <c r="R283" s="271" t="s">
        <v>44</v>
      </c>
      <c r="S283" s="271" t="s">
        <v>44</v>
      </c>
    </row>
    <row r="284" spans="1:20" ht="15" customHeight="1" outlineLevel="1">
      <c r="B284" s="33">
        <v>10</v>
      </c>
      <c r="C284" s="219" t="s">
        <v>252</v>
      </c>
      <c r="D284" s="203" t="s">
        <v>252</v>
      </c>
      <c r="E284" s="256" t="s">
        <v>44</v>
      </c>
      <c r="F284" s="257" t="str">
        <f t="shared" ref="F284:G303" si="158">+IF(ISNONTEXT(E59),IF(E59&lt;&gt;0,F59/E59-1,""),"")</f>
        <v/>
      </c>
      <c r="G284" s="257" t="str">
        <f t="shared" si="158"/>
        <v/>
      </c>
      <c r="H284" s="258" t="str">
        <f t="shared" ref="H284:H323" si="159">+IF(ISNONTEXT(F59),IF(F59&lt;&gt;0,H59/F59-1,""),"")</f>
        <v/>
      </c>
      <c r="I284" s="259" t="str">
        <f t="shared" ref="I284:S284" si="160">+IF(ISNONTEXT(H59),IF(H59&lt;&gt;0,I59/H59-1,""),"")</f>
        <v/>
      </c>
      <c r="J284" s="260" t="str">
        <f t="shared" si="160"/>
        <v/>
      </c>
      <c r="K284" s="260">
        <f t="shared" si="160"/>
        <v>0.29596378978508153</v>
      </c>
      <c r="L284" s="260">
        <f t="shared" si="160"/>
        <v>0.28790516018860046</v>
      </c>
      <c r="M284" s="260">
        <f t="shared" si="160"/>
        <v>0.22354531147809031</v>
      </c>
      <c r="N284" s="260">
        <f t="shared" si="160"/>
        <v>-0.12397348227801852</v>
      </c>
      <c r="O284" s="260">
        <f t="shared" si="160"/>
        <v>-4.0638682782307756E-2</v>
      </c>
      <c r="P284" s="260">
        <f t="shared" si="160"/>
        <v>0</v>
      </c>
      <c r="Q284" s="260">
        <f t="shared" si="160"/>
        <v>0</v>
      </c>
      <c r="R284" s="260">
        <f t="shared" si="160"/>
        <v>2.4844658771034034E-2</v>
      </c>
      <c r="S284" s="260">
        <f t="shared" si="160"/>
        <v>3.6361123973032816E-2</v>
      </c>
      <c r="T284" s="31"/>
    </row>
    <row r="285" spans="1:20" ht="15" customHeight="1" outlineLevel="2">
      <c r="B285" s="34" t="s">
        <v>199</v>
      </c>
      <c r="C285" s="204" t="s">
        <v>253</v>
      </c>
      <c r="D285" s="205" t="s">
        <v>253</v>
      </c>
      <c r="E285" s="261" t="s">
        <v>44</v>
      </c>
      <c r="F285" s="262" t="str">
        <f t="shared" si="158"/>
        <v/>
      </c>
      <c r="G285" s="262" t="str">
        <f t="shared" si="158"/>
        <v/>
      </c>
      <c r="H285" s="263" t="str">
        <f t="shared" si="159"/>
        <v/>
      </c>
      <c r="I285" s="264" t="str">
        <f t="shared" ref="I285:S285" si="161">+IF(ISNONTEXT(H60),IF(H60&lt;&gt;0,I60/H60-1,""),"")</f>
        <v/>
      </c>
      <c r="J285" s="265" t="str">
        <f t="shared" si="161"/>
        <v/>
      </c>
      <c r="K285" s="265">
        <f t="shared" si="161"/>
        <v>0.29596378978508153</v>
      </c>
      <c r="L285" s="265">
        <f t="shared" si="161"/>
        <v>0.28790516018860046</v>
      </c>
      <c r="M285" s="265">
        <f t="shared" si="161"/>
        <v>0.22354531147809031</v>
      </c>
      <c r="N285" s="265">
        <f t="shared" si="161"/>
        <v>-0.12397348227801852</v>
      </c>
      <c r="O285" s="265">
        <f t="shared" si="161"/>
        <v>-4.0638682782307756E-2</v>
      </c>
      <c r="P285" s="265">
        <f t="shared" si="161"/>
        <v>0</v>
      </c>
      <c r="Q285" s="265">
        <f t="shared" si="161"/>
        <v>0</v>
      </c>
      <c r="R285" s="265">
        <f t="shared" si="161"/>
        <v>2.4844658771034034E-2</v>
      </c>
      <c r="S285" s="265">
        <f t="shared" si="161"/>
        <v>3.6361123973032816E-2</v>
      </c>
    </row>
    <row r="286" spans="1:20" ht="15" customHeight="1" outlineLevel="1">
      <c r="B286" s="33">
        <v>11</v>
      </c>
      <c r="C286" s="219" t="s">
        <v>123</v>
      </c>
      <c r="D286" s="203" t="s">
        <v>123</v>
      </c>
      <c r="E286" s="256" t="s">
        <v>44</v>
      </c>
      <c r="F286" s="267" t="str">
        <f t="shared" si="158"/>
        <v/>
      </c>
      <c r="G286" s="267" t="str">
        <f t="shared" si="158"/>
        <v/>
      </c>
      <c r="H286" s="258" t="str">
        <f t="shared" si="159"/>
        <v/>
      </c>
      <c r="I286" s="268" t="str">
        <f t="shared" ref="I286:S286" si="162">+IF(ISNONTEXT(H61),IF(H61&lt;&gt;0,I61/H61-1,""),"")</f>
        <v/>
      </c>
      <c r="J286" s="269" t="str">
        <f t="shared" si="162"/>
        <v/>
      </c>
      <c r="K286" s="269" t="str">
        <f t="shared" si="162"/>
        <v/>
      </c>
      <c r="L286" s="269" t="str">
        <f t="shared" si="162"/>
        <v/>
      </c>
      <c r="M286" s="269" t="str">
        <f t="shared" si="162"/>
        <v/>
      </c>
      <c r="N286" s="269" t="str">
        <f t="shared" si="162"/>
        <v/>
      </c>
      <c r="O286" s="269" t="str">
        <f t="shared" si="162"/>
        <v/>
      </c>
      <c r="P286" s="269" t="str">
        <f t="shared" si="162"/>
        <v/>
      </c>
      <c r="Q286" s="269" t="str">
        <f t="shared" si="162"/>
        <v/>
      </c>
      <c r="R286" s="269" t="str">
        <f t="shared" si="162"/>
        <v/>
      </c>
      <c r="S286" s="269" t="str">
        <f t="shared" si="162"/>
        <v/>
      </c>
      <c r="T286" s="31"/>
    </row>
    <row r="287" spans="1:20" ht="15" customHeight="1" outlineLevel="2">
      <c r="B287" s="34" t="s">
        <v>200</v>
      </c>
      <c r="C287" s="204" t="s">
        <v>451</v>
      </c>
      <c r="D287" s="205" t="s">
        <v>254</v>
      </c>
      <c r="E287" s="261" t="s">
        <v>44</v>
      </c>
      <c r="F287" s="262">
        <f t="shared" si="158"/>
        <v>-1</v>
      </c>
      <c r="G287" s="262" t="str">
        <f t="shared" si="158"/>
        <v/>
      </c>
      <c r="H287" s="263" t="str">
        <f t="shared" si="159"/>
        <v/>
      </c>
      <c r="I287" s="264">
        <f t="shared" ref="I287:S287" si="163">+IF(ISNONTEXT(H62),IF(H62&lt;&gt;0,I62/H62-1,""),"")</f>
        <v>4.7839286545970472E-2</v>
      </c>
      <c r="J287" s="265">
        <f t="shared" si="163"/>
        <v>-1.4404321868841996E-2</v>
      </c>
      <c r="K287" s="265">
        <f t="shared" si="163"/>
        <v>3.2258064516129004E-2</v>
      </c>
      <c r="L287" s="265">
        <f t="shared" si="163"/>
        <v>1.5625E-2</v>
      </c>
      <c r="M287" s="265">
        <f t="shared" si="163"/>
        <v>1.538461538461533E-2</v>
      </c>
      <c r="N287" s="265">
        <f t="shared" si="163"/>
        <v>1.5151515151515138E-2</v>
      </c>
      <c r="O287" s="265">
        <f t="shared" si="163"/>
        <v>1.4925373134328401E-2</v>
      </c>
      <c r="P287" s="265">
        <f t="shared" si="163"/>
        <v>1.4705882352941124E-2</v>
      </c>
      <c r="Q287" s="265">
        <f t="shared" si="163"/>
        <v>1.449275362318847E-2</v>
      </c>
      <c r="R287" s="265">
        <f t="shared" si="163"/>
        <v>1.7928571428571516E-2</v>
      </c>
      <c r="S287" s="265">
        <f t="shared" si="163"/>
        <v>1.7472458073117592E-2</v>
      </c>
    </row>
    <row r="288" spans="1:20" ht="15" customHeight="1" outlineLevel="2">
      <c r="B288" s="34" t="s">
        <v>201</v>
      </c>
      <c r="C288" s="204" t="s">
        <v>450</v>
      </c>
      <c r="D288" s="205" t="s">
        <v>255</v>
      </c>
      <c r="E288" s="261" t="s">
        <v>44</v>
      </c>
      <c r="F288" s="262" t="str">
        <f t="shared" si="158"/>
        <v/>
      </c>
      <c r="G288" s="262" t="str">
        <f t="shared" si="158"/>
        <v/>
      </c>
      <c r="H288" s="263" t="str">
        <f t="shared" si="159"/>
        <v/>
      </c>
      <c r="I288" s="264" t="str">
        <f t="shared" ref="I288:S288" si="164">+IF(ISNONTEXT(H63),IF(H63&lt;&gt;0,I63/H63-1,""),"")</f>
        <v/>
      </c>
      <c r="J288" s="265">
        <f t="shared" si="164"/>
        <v>-4.7294205187645044E-2</v>
      </c>
      <c r="K288" s="265">
        <f t="shared" si="164"/>
        <v>3.3333333333333437E-2</v>
      </c>
      <c r="L288" s="265">
        <f t="shared" si="164"/>
        <v>3.2258064516129004E-2</v>
      </c>
      <c r="M288" s="265">
        <f t="shared" si="164"/>
        <v>3.125E-2</v>
      </c>
      <c r="N288" s="265">
        <f t="shared" si="164"/>
        <v>3.0303030303030276E-2</v>
      </c>
      <c r="O288" s="265">
        <f t="shared" si="164"/>
        <v>2.9411764705882248E-2</v>
      </c>
      <c r="P288" s="265">
        <f t="shared" si="164"/>
        <v>2.857142857142847E-2</v>
      </c>
      <c r="Q288" s="265">
        <f t="shared" si="164"/>
        <v>2.7777777777777679E-2</v>
      </c>
      <c r="R288" s="265">
        <f t="shared" si="164"/>
        <v>2.7027027027026973E-2</v>
      </c>
      <c r="S288" s="265">
        <f t="shared" si="164"/>
        <v>2.6315789473684292E-2</v>
      </c>
    </row>
    <row r="289" spans="2:20" ht="15" customHeight="1" outlineLevel="2">
      <c r="B289" s="34" t="s">
        <v>202</v>
      </c>
      <c r="C289" s="204" t="s">
        <v>258</v>
      </c>
      <c r="D289" s="205" t="s">
        <v>258</v>
      </c>
      <c r="E289" s="261" t="s">
        <v>44</v>
      </c>
      <c r="F289" s="262" t="str">
        <f t="shared" si="158"/>
        <v/>
      </c>
      <c r="G289" s="262" t="str">
        <f t="shared" si="158"/>
        <v/>
      </c>
      <c r="H289" s="263" t="str">
        <f t="shared" si="159"/>
        <v/>
      </c>
      <c r="I289" s="264" t="str">
        <f t="shared" ref="I289:S289" si="165">+IF(ISNONTEXT(H64),IF(H64&lt;&gt;0,I64/H64-1,""),"")</f>
        <v/>
      </c>
      <c r="J289" s="265">
        <f t="shared" si="165"/>
        <v>0.53906004488032111</v>
      </c>
      <c r="K289" s="265">
        <f t="shared" si="165"/>
        <v>-0.92213257690126127</v>
      </c>
      <c r="L289" s="265">
        <f t="shared" si="165"/>
        <v>-0.99987552867528151</v>
      </c>
      <c r="M289" s="265">
        <f t="shared" si="165"/>
        <v>0</v>
      </c>
      <c r="N289" s="265">
        <f t="shared" si="165"/>
        <v>0</v>
      </c>
      <c r="O289" s="265">
        <f t="shared" si="165"/>
        <v>0</v>
      </c>
      <c r="P289" s="265">
        <f t="shared" si="165"/>
        <v>-0.64285714285714279</v>
      </c>
      <c r="Q289" s="265">
        <f t="shared" si="165"/>
        <v>-1</v>
      </c>
      <c r="R289" s="265" t="str">
        <f t="shared" si="165"/>
        <v/>
      </c>
      <c r="S289" s="265" t="str">
        <f t="shared" si="165"/>
        <v/>
      </c>
    </row>
    <row r="290" spans="2:20" ht="15" customHeight="1" outlineLevel="3">
      <c r="B290" s="34" t="s">
        <v>127</v>
      </c>
      <c r="C290" s="204" t="s">
        <v>452</v>
      </c>
      <c r="D290" s="206" t="s">
        <v>256</v>
      </c>
      <c r="E290" s="261" t="s">
        <v>44</v>
      </c>
      <c r="F290" s="262" t="str">
        <f t="shared" si="158"/>
        <v/>
      </c>
      <c r="G290" s="262" t="str">
        <f t="shared" si="158"/>
        <v/>
      </c>
      <c r="H290" s="263" t="str">
        <f t="shared" si="159"/>
        <v/>
      </c>
      <c r="I290" s="264" t="str">
        <f t="shared" ref="I290:S290" si="166">+IF(ISNONTEXT(H65),IF(H65&lt;&gt;0,I65/H65-1,""),"")</f>
        <v/>
      </c>
      <c r="J290" s="265">
        <f t="shared" si="166"/>
        <v>0.63124619854658048</v>
      </c>
      <c r="K290" s="265">
        <f t="shared" si="166"/>
        <v>-0.79143309796357508</v>
      </c>
      <c r="L290" s="265">
        <f t="shared" si="166"/>
        <v>-0.99987552867528151</v>
      </c>
      <c r="M290" s="265">
        <f t="shared" si="166"/>
        <v>0</v>
      </c>
      <c r="N290" s="265">
        <f t="shared" si="166"/>
        <v>0</v>
      </c>
      <c r="O290" s="265">
        <f t="shared" si="166"/>
        <v>0</v>
      </c>
      <c r="P290" s="265">
        <f t="shared" si="166"/>
        <v>-0.64285714285714279</v>
      </c>
      <c r="Q290" s="265">
        <f t="shared" si="166"/>
        <v>-1</v>
      </c>
      <c r="R290" s="265" t="str">
        <f t="shared" si="166"/>
        <v/>
      </c>
      <c r="S290" s="265" t="str">
        <f t="shared" si="166"/>
        <v/>
      </c>
    </row>
    <row r="291" spans="2:20" ht="15" customHeight="1" outlineLevel="3">
      <c r="B291" s="34" t="s">
        <v>129</v>
      </c>
      <c r="C291" s="204" t="s">
        <v>453</v>
      </c>
      <c r="D291" s="206" t="s">
        <v>257</v>
      </c>
      <c r="E291" s="261" t="s">
        <v>44</v>
      </c>
      <c r="F291" s="262" t="str">
        <f t="shared" si="158"/>
        <v/>
      </c>
      <c r="G291" s="262" t="str">
        <f t="shared" si="158"/>
        <v/>
      </c>
      <c r="H291" s="263" t="str">
        <f t="shared" si="159"/>
        <v/>
      </c>
      <c r="I291" s="264" t="str">
        <f t="shared" ref="I291:S291" si="167">+IF(ISNONTEXT(H66),IF(H66&lt;&gt;0,I66/H66-1,""),"")</f>
        <v/>
      </c>
      <c r="J291" s="265">
        <f t="shared" si="167"/>
        <v>0.48892951804036189</v>
      </c>
      <c r="K291" s="265">
        <f t="shared" si="167"/>
        <v>-1</v>
      </c>
      <c r="L291" s="265" t="str">
        <f t="shared" si="167"/>
        <v/>
      </c>
      <c r="M291" s="265" t="str">
        <f t="shared" si="167"/>
        <v/>
      </c>
      <c r="N291" s="265" t="str">
        <f t="shared" si="167"/>
        <v/>
      </c>
      <c r="O291" s="265" t="str">
        <f t="shared" si="167"/>
        <v/>
      </c>
      <c r="P291" s="265" t="str">
        <f t="shared" si="167"/>
        <v/>
      </c>
      <c r="Q291" s="265" t="str">
        <f t="shared" si="167"/>
        <v/>
      </c>
      <c r="R291" s="265" t="str">
        <f t="shared" si="167"/>
        <v/>
      </c>
      <c r="S291" s="265" t="str">
        <f t="shared" si="167"/>
        <v/>
      </c>
    </row>
    <row r="292" spans="2:20" ht="15" customHeight="1" outlineLevel="2">
      <c r="B292" s="34" t="s">
        <v>203</v>
      </c>
      <c r="C292" s="204" t="s">
        <v>259</v>
      </c>
      <c r="D292" s="205" t="s">
        <v>259</v>
      </c>
      <c r="E292" s="261" t="s">
        <v>44</v>
      </c>
      <c r="F292" s="262" t="str">
        <f t="shared" si="158"/>
        <v/>
      </c>
      <c r="G292" s="262" t="str">
        <f t="shared" si="158"/>
        <v/>
      </c>
      <c r="H292" s="263" t="str">
        <f t="shared" si="159"/>
        <v/>
      </c>
      <c r="I292" s="264" t="str">
        <f t="shared" ref="I292:S292" si="168">+IF(ISNONTEXT(H67),IF(H67&lt;&gt;0,I67/H67-1,""),"")</f>
        <v/>
      </c>
      <c r="J292" s="265">
        <f t="shared" si="168"/>
        <v>-1</v>
      </c>
      <c r="K292" s="265" t="str">
        <f t="shared" si="168"/>
        <v/>
      </c>
      <c r="L292" s="265" t="str">
        <f t="shared" si="168"/>
        <v/>
      </c>
      <c r="M292" s="265" t="str">
        <f t="shared" si="168"/>
        <v/>
      </c>
      <c r="N292" s="265" t="str">
        <f t="shared" si="168"/>
        <v/>
      </c>
      <c r="O292" s="265" t="str">
        <f t="shared" si="168"/>
        <v/>
      </c>
      <c r="P292" s="265" t="str">
        <f t="shared" si="168"/>
        <v/>
      </c>
      <c r="Q292" s="265" t="str">
        <f t="shared" si="168"/>
        <v/>
      </c>
      <c r="R292" s="265" t="str">
        <f t="shared" si="168"/>
        <v/>
      </c>
      <c r="S292" s="265" t="str">
        <f t="shared" si="168"/>
        <v/>
      </c>
    </row>
    <row r="293" spans="2:20" ht="15" customHeight="1" outlineLevel="2">
      <c r="B293" s="34" t="s">
        <v>204</v>
      </c>
      <c r="C293" s="204" t="s">
        <v>260</v>
      </c>
      <c r="D293" s="205" t="s">
        <v>260</v>
      </c>
      <c r="E293" s="261" t="s">
        <v>44</v>
      </c>
      <c r="F293" s="262" t="str">
        <f t="shared" si="158"/>
        <v/>
      </c>
      <c r="G293" s="262" t="str">
        <f t="shared" si="158"/>
        <v/>
      </c>
      <c r="H293" s="263" t="str">
        <f t="shared" si="159"/>
        <v/>
      </c>
      <c r="I293" s="264" t="str">
        <f t="shared" ref="I293:S293" si="169">+IF(ISNONTEXT(H68),IF(H68&lt;&gt;0,I68/H68-1,""),"")</f>
        <v/>
      </c>
      <c r="J293" s="265">
        <f t="shared" si="169"/>
        <v>-1</v>
      </c>
      <c r="K293" s="265" t="str">
        <f t="shared" si="169"/>
        <v/>
      </c>
      <c r="L293" s="265" t="str">
        <f t="shared" si="169"/>
        <v/>
      </c>
      <c r="M293" s="265" t="str">
        <f t="shared" si="169"/>
        <v/>
      </c>
      <c r="N293" s="265" t="str">
        <f t="shared" si="169"/>
        <v/>
      </c>
      <c r="O293" s="265" t="str">
        <f t="shared" si="169"/>
        <v/>
      </c>
      <c r="P293" s="265" t="str">
        <f t="shared" si="169"/>
        <v/>
      </c>
      <c r="Q293" s="265" t="str">
        <f t="shared" si="169"/>
        <v/>
      </c>
      <c r="R293" s="265" t="str">
        <f t="shared" si="169"/>
        <v/>
      </c>
      <c r="S293" s="265" t="str">
        <f t="shared" si="169"/>
        <v/>
      </c>
    </row>
    <row r="294" spans="2:20" ht="15" customHeight="1" outlineLevel="2">
      <c r="B294" s="34" t="s">
        <v>205</v>
      </c>
      <c r="C294" s="204" t="s">
        <v>261</v>
      </c>
      <c r="D294" s="205" t="s">
        <v>261</v>
      </c>
      <c r="E294" s="261" t="s">
        <v>44</v>
      </c>
      <c r="F294" s="262" t="str">
        <f t="shared" si="158"/>
        <v/>
      </c>
      <c r="G294" s="262" t="str">
        <f t="shared" si="158"/>
        <v/>
      </c>
      <c r="H294" s="263" t="str">
        <f t="shared" si="159"/>
        <v/>
      </c>
      <c r="I294" s="264" t="str">
        <f t="shared" ref="I294:S294" si="170">+IF(ISNONTEXT(H69),IF(H69&lt;&gt;0,I69/H69-1,""),"")</f>
        <v/>
      </c>
      <c r="J294" s="265">
        <f t="shared" si="170"/>
        <v>-1</v>
      </c>
      <c r="K294" s="265" t="str">
        <f t="shared" si="170"/>
        <v/>
      </c>
      <c r="L294" s="265" t="str">
        <f t="shared" si="170"/>
        <v/>
      </c>
      <c r="M294" s="265" t="str">
        <f t="shared" si="170"/>
        <v/>
      </c>
      <c r="N294" s="265" t="str">
        <f t="shared" si="170"/>
        <v/>
      </c>
      <c r="O294" s="265" t="str">
        <f t="shared" si="170"/>
        <v/>
      </c>
      <c r="P294" s="265" t="str">
        <f t="shared" si="170"/>
        <v/>
      </c>
      <c r="Q294" s="265" t="str">
        <f t="shared" si="170"/>
        <v/>
      </c>
      <c r="R294" s="265" t="str">
        <f t="shared" si="170"/>
        <v/>
      </c>
      <c r="S294" s="265" t="str">
        <f t="shared" si="170"/>
        <v/>
      </c>
    </row>
    <row r="295" spans="2:20" ht="26.25" customHeight="1" outlineLevel="1">
      <c r="B295" s="33">
        <v>12</v>
      </c>
      <c r="C295" s="219" t="s">
        <v>134</v>
      </c>
      <c r="D295" s="203" t="s">
        <v>134</v>
      </c>
      <c r="E295" s="256" t="s">
        <v>44</v>
      </c>
      <c r="F295" s="267" t="str">
        <f t="shared" si="158"/>
        <v/>
      </c>
      <c r="G295" s="267" t="str">
        <f t="shared" si="158"/>
        <v/>
      </c>
      <c r="H295" s="258" t="str">
        <f t="shared" si="159"/>
        <v/>
      </c>
      <c r="I295" s="268" t="str">
        <f t="shared" ref="I295:S295" si="171">+IF(ISNONTEXT(H70),IF(H70&lt;&gt;0,I70/H70-1,""),"")</f>
        <v/>
      </c>
      <c r="J295" s="269" t="str">
        <f t="shared" si="171"/>
        <v/>
      </c>
      <c r="K295" s="269" t="str">
        <f t="shared" si="171"/>
        <v/>
      </c>
      <c r="L295" s="269" t="str">
        <f t="shared" si="171"/>
        <v/>
      </c>
      <c r="M295" s="269" t="str">
        <f t="shared" si="171"/>
        <v/>
      </c>
      <c r="N295" s="269" t="str">
        <f t="shared" si="171"/>
        <v/>
      </c>
      <c r="O295" s="269" t="str">
        <f t="shared" si="171"/>
        <v/>
      </c>
      <c r="P295" s="269" t="str">
        <f t="shared" si="171"/>
        <v/>
      </c>
      <c r="Q295" s="269" t="str">
        <f t="shared" si="171"/>
        <v/>
      </c>
      <c r="R295" s="269" t="str">
        <f t="shared" si="171"/>
        <v/>
      </c>
      <c r="S295" s="269" t="str">
        <f t="shared" si="171"/>
        <v/>
      </c>
      <c r="T295" s="31"/>
    </row>
    <row r="296" spans="2:20" ht="25.5" customHeight="1" outlineLevel="2">
      <c r="B296" s="34" t="s">
        <v>206</v>
      </c>
      <c r="C296" s="204" t="s">
        <v>427</v>
      </c>
      <c r="D296" s="205" t="s">
        <v>427</v>
      </c>
      <c r="E296" s="261" t="s">
        <v>44</v>
      </c>
      <c r="F296" s="262" t="str">
        <f t="shared" si="158"/>
        <v/>
      </c>
      <c r="G296" s="262" t="str">
        <f t="shared" si="158"/>
        <v/>
      </c>
      <c r="H296" s="263" t="str">
        <f t="shared" si="159"/>
        <v/>
      </c>
      <c r="I296" s="264">
        <f t="shared" ref="I296:S296" si="172">+IF(ISNONTEXT(H71),IF(H71&lt;&gt;0,I71/H71-1,""),"")</f>
        <v>1.1041335309461373</v>
      </c>
      <c r="J296" s="265">
        <f t="shared" si="172"/>
        <v>-0.88641792741213599</v>
      </c>
      <c r="K296" s="265">
        <f t="shared" si="172"/>
        <v>-1</v>
      </c>
      <c r="L296" s="265" t="str">
        <f t="shared" si="172"/>
        <v/>
      </c>
      <c r="M296" s="265" t="str">
        <f t="shared" si="172"/>
        <v/>
      </c>
      <c r="N296" s="265" t="str">
        <f t="shared" si="172"/>
        <v/>
      </c>
      <c r="O296" s="265" t="str">
        <f t="shared" si="172"/>
        <v/>
      </c>
      <c r="P296" s="265" t="str">
        <f t="shared" si="172"/>
        <v/>
      </c>
      <c r="Q296" s="265" t="str">
        <f t="shared" si="172"/>
        <v/>
      </c>
      <c r="R296" s="265" t="str">
        <f t="shared" si="172"/>
        <v/>
      </c>
      <c r="S296" s="265" t="str">
        <f t="shared" si="172"/>
        <v/>
      </c>
    </row>
    <row r="297" spans="2:20" ht="15" customHeight="1" outlineLevel="3">
      <c r="B297" s="34" t="s">
        <v>136</v>
      </c>
      <c r="C297" s="204" t="s">
        <v>262</v>
      </c>
      <c r="D297" s="206" t="s">
        <v>262</v>
      </c>
      <c r="E297" s="261" t="s">
        <v>44</v>
      </c>
      <c r="F297" s="262">
        <f t="shared" si="158"/>
        <v>-1</v>
      </c>
      <c r="G297" s="262" t="str">
        <f t="shared" si="158"/>
        <v/>
      </c>
      <c r="H297" s="263" t="str">
        <f t="shared" si="159"/>
        <v/>
      </c>
      <c r="I297" s="264">
        <f t="shared" ref="I297:S297" si="173">+IF(ISNONTEXT(H72),IF(H72&lt;&gt;0,I72/H72-1,""),"")</f>
        <v>0.90691804324929737</v>
      </c>
      <c r="J297" s="265">
        <f t="shared" si="173"/>
        <v>-0.87467114892926812</v>
      </c>
      <c r="K297" s="265">
        <f t="shared" si="173"/>
        <v>-1</v>
      </c>
      <c r="L297" s="265" t="str">
        <f t="shared" si="173"/>
        <v/>
      </c>
      <c r="M297" s="265" t="str">
        <f t="shared" si="173"/>
        <v/>
      </c>
      <c r="N297" s="265" t="str">
        <f t="shared" si="173"/>
        <v/>
      </c>
      <c r="O297" s="265" t="str">
        <f t="shared" si="173"/>
        <v/>
      </c>
      <c r="P297" s="265" t="str">
        <f t="shared" si="173"/>
        <v/>
      </c>
      <c r="Q297" s="265" t="str">
        <f t="shared" si="173"/>
        <v/>
      </c>
      <c r="R297" s="265" t="str">
        <f t="shared" si="173"/>
        <v/>
      </c>
      <c r="S297" s="265" t="str">
        <f t="shared" si="173"/>
        <v/>
      </c>
    </row>
    <row r="298" spans="2:20" ht="25.5" customHeight="1" outlineLevel="3">
      <c r="B298" s="34" t="s">
        <v>138</v>
      </c>
      <c r="C298" s="204" t="s">
        <v>263</v>
      </c>
      <c r="D298" s="207" t="s">
        <v>263</v>
      </c>
      <c r="E298" s="261" t="s">
        <v>44</v>
      </c>
      <c r="F298" s="262" t="str">
        <f t="shared" si="158"/>
        <v/>
      </c>
      <c r="G298" s="262" t="str">
        <f t="shared" si="158"/>
        <v/>
      </c>
      <c r="H298" s="263" t="str">
        <f t="shared" si="159"/>
        <v/>
      </c>
      <c r="I298" s="264" t="str">
        <f t="shared" ref="I298:S298" si="174">+IF(ISNONTEXT(H73),IF(H73&lt;&gt;0,I73/H73-1,""),"")</f>
        <v/>
      </c>
      <c r="J298" s="265">
        <f t="shared" si="174"/>
        <v>-0.87467114892926812</v>
      </c>
      <c r="K298" s="265">
        <f t="shared" si="174"/>
        <v>-1</v>
      </c>
      <c r="L298" s="265" t="str">
        <f t="shared" si="174"/>
        <v/>
      </c>
      <c r="M298" s="265" t="str">
        <f t="shared" si="174"/>
        <v/>
      </c>
      <c r="N298" s="265" t="str">
        <f t="shared" si="174"/>
        <v/>
      </c>
      <c r="O298" s="265" t="str">
        <f t="shared" si="174"/>
        <v/>
      </c>
      <c r="P298" s="265" t="str">
        <f t="shared" si="174"/>
        <v/>
      </c>
      <c r="Q298" s="265" t="str">
        <f t="shared" si="174"/>
        <v/>
      </c>
      <c r="R298" s="265" t="str">
        <f t="shared" si="174"/>
        <v/>
      </c>
      <c r="S298" s="265" t="str">
        <f t="shared" si="174"/>
        <v/>
      </c>
    </row>
    <row r="299" spans="2:20" ht="25.5" customHeight="1" outlineLevel="2">
      <c r="B299" s="34" t="s">
        <v>207</v>
      </c>
      <c r="C299" s="204" t="s">
        <v>428</v>
      </c>
      <c r="D299" s="205" t="s">
        <v>428</v>
      </c>
      <c r="E299" s="261" t="s">
        <v>44</v>
      </c>
      <c r="F299" s="262" t="str">
        <f t="shared" si="158"/>
        <v/>
      </c>
      <c r="G299" s="262" t="str">
        <f t="shared" si="158"/>
        <v/>
      </c>
      <c r="H299" s="263" t="str">
        <f t="shared" si="159"/>
        <v/>
      </c>
      <c r="I299" s="264" t="str">
        <f t="shared" ref="I299:S299" si="175">+IF(ISNONTEXT(H74),IF(H74&lt;&gt;0,I74/H74-1,""),"")</f>
        <v/>
      </c>
      <c r="J299" s="265">
        <f t="shared" si="175"/>
        <v>-1</v>
      </c>
      <c r="K299" s="265" t="str">
        <f t="shared" si="175"/>
        <v/>
      </c>
      <c r="L299" s="265" t="str">
        <f t="shared" si="175"/>
        <v/>
      </c>
      <c r="M299" s="265" t="str">
        <f t="shared" si="175"/>
        <v/>
      </c>
      <c r="N299" s="265" t="str">
        <f t="shared" si="175"/>
        <v/>
      </c>
      <c r="O299" s="265" t="str">
        <f t="shared" si="175"/>
        <v/>
      </c>
      <c r="P299" s="265" t="str">
        <f t="shared" si="175"/>
        <v/>
      </c>
      <c r="Q299" s="265" t="str">
        <f t="shared" si="175"/>
        <v/>
      </c>
      <c r="R299" s="265" t="str">
        <f t="shared" si="175"/>
        <v/>
      </c>
      <c r="S299" s="265" t="str">
        <f t="shared" si="175"/>
        <v/>
      </c>
    </row>
    <row r="300" spans="2:20" ht="15" customHeight="1" outlineLevel="3">
      <c r="B300" s="34" t="s">
        <v>141</v>
      </c>
      <c r="C300" s="204" t="s">
        <v>262</v>
      </c>
      <c r="D300" s="206" t="s">
        <v>262</v>
      </c>
      <c r="E300" s="261" t="s">
        <v>44</v>
      </c>
      <c r="F300" s="262">
        <f t="shared" si="158"/>
        <v>-1</v>
      </c>
      <c r="G300" s="262" t="str">
        <f t="shared" si="158"/>
        <v/>
      </c>
      <c r="H300" s="263" t="str">
        <f t="shared" si="159"/>
        <v/>
      </c>
      <c r="I300" s="264">
        <f t="shared" ref="I300:S300" si="176">+IF(ISNONTEXT(H75),IF(H75&lt;&gt;0,I75/H75-1,""),"")</f>
        <v>-1.967927070375397E-2</v>
      </c>
      <c r="J300" s="265">
        <f t="shared" si="176"/>
        <v>-1</v>
      </c>
      <c r="K300" s="265" t="str">
        <f t="shared" si="176"/>
        <v/>
      </c>
      <c r="L300" s="265" t="str">
        <f t="shared" si="176"/>
        <v/>
      </c>
      <c r="M300" s="265" t="str">
        <f t="shared" si="176"/>
        <v/>
      </c>
      <c r="N300" s="265" t="str">
        <f t="shared" si="176"/>
        <v/>
      </c>
      <c r="O300" s="265" t="str">
        <f t="shared" si="176"/>
        <v/>
      </c>
      <c r="P300" s="265" t="str">
        <f t="shared" si="176"/>
        <v/>
      </c>
      <c r="Q300" s="265" t="str">
        <f t="shared" si="176"/>
        <v/>
      </c>
      <c r="R300" s="265" t="str">
        <f t="shared" si="176"/>
        <v/>
      </c>
      <c r="S300" s="265" t="str">
        <f t="shared" si="176"/>
        <v/>
      </c>
    </row>
    <row r="301" spans="2:20" ht="25.5" customHeight="1" outlineLevel="3">
      <c r="B301" s="34" t="s">
        <v>143</v>
      </c>
      <c r="C301" s="204" t="s">
        <v>263</v>
      </c>
      <c r="D301" s="207" t="s">
        <v>263</v>
      </c>
      <c r="E301" s="261" t="s">
        <v>44</v>
      </c>
      <c r="F301" s="262" t="str">
        <f t="shared" si="158"/>
        <v/>
      </c>
      <c r="G301" s="262" t="str">
        <f t="shared" si="158"/>
        <v/>
      </c>
      <c r="H301" s="263" t="str">
        <f t="shared" si="159"/>
        <v/>
      </c>
      <c r="I301" s="264" t="str">
        <f t="shared" ref="I301:S301" si="177">+IF(ISNONTEXT(H76),IF(H76&lt;&gt;0,I76/H76-1,""),"")</f>
        <v/>
      </c>
      <c r="J301" s="265">
        <f t="shared" si="177"/>
        <v>-1</v>
      </c>
      <c r="K301" s="265" t="str">
        <f t="shared" si="177"/>
        <v/>
      </c>
      <c r="L301" s="265" t="str">
        <f t="shared" si="177"/>
        <v/>
      </c>
      <c r="M301" s="265" t="str">
        <f t="shared" si="177"/>
        <v/>
      </c>
      <c r="N301" s="265" t="str">
        <f t="shared" si="177"/>
        <v/>
      </c>
      <c r="O301" s="265" t="str">
        <f t="shared" si="177"/>
        <v/>
      </c>
      <c r="P301" s="265" t="str">
        <f t="shared" si="177"/>
        <v/>
      </c>
      <c r="Q301" s="265" t="str">
        <f t="shared" si="177"/>
        <v/>
      </c>
      <c r="R301" s="265" t="str">
        <f t="shared" si="177"/>
        <v/>
      </c>
      <c r="S301" s="265" t="str">
        <f t="shared" si="177"/>
        <v/>
      </c>
    </row>
    <row r="302" spans="2:20" ht="25.5" customHeight="1" outlineLevel="2">
      <c r="B302" s="34" t="s">
        <v>208</v>
      </c>
      <c r="C302" s="204" t="s">
        <v>264</v>
      </c>
      <c r="D302" s="205" t="s">
        <v>264</v>
      </c>
      <c r="E302" s="261" t="s">
        <v>44</v>
      </c>
      <c r="F302" s="262" t="str">
        <f t="shared" si="158"/>
        <v/>
      </c>
      <c r="G302" s="262" t="str">
        <f t="shared" si="158"/>
        <v/>
      </c>
      <c r="H302" s="263" t="str">
        <f t="shared" si="159"/>
        <v/>
      </c>
      <c r="I302" s="264" t="str">
        <f t="shared" ref="I302:S302" si="178">+IF(ISNONTEXT(H77),IF(H77&lt;&gt;0,I77/H77-1,""),"")</f>
        <v/>
      </c>
      <c r="J302" s="265">
        <f t="shared" si="178"/>
        <v>-0.86726656934288238</v>
      </c>
      <c r="K302" s="265">
        <f t="shared" si="178"/>
        <v>-1</v>
      </c>
      <c r="L302" s="265" t="str">
        <f t="shared" si="178"/>
        <v/>
      </c>
      <c r="M302" s="265" t="str">
        <f t="shared" si="178"/>
        <v/>
      </c>
      <c r="N302" s="265" t="str">
        <f t="shared" si="178"/>
        <v/>
      </c>
      <c r="O302" s="265" t="str">
        <f t="shared" si="178"/>
        <v/>
      </c>
      <c r="P302" s="265" t="str">
        <f t="shared" si="178"/>
        <v/>
      </c>
      <c r="Q302" s="265" t="str">
        <f t="shared" si="178"/>
        <v/>
      </c>
      <c r="R302" s="265" t="str">
        <f t="shared" si="178"/>
        <v/>
      </c>
      <c r="S302" s="265" t="str">
        <f t="shared" si="178"/>
        <v/>
      </c>
    </row>
    <row r="303" spans="2:20" ht="15" customHeight="1" outlineLevel="3">
      <c r="B303" s="34" t="s">
        <v>146</v>
      </c>
      <c r="C303" s="204" t="s">
        <v>266</v>
      </c>
      <c r="D303" s="206" t="s">
        <v>266</v>
      </c>
      <c r="E303" s="261" t="s">
        <v>44</v>
      </c>
      <c r="F303" s="262" t="str">
        <f t="shared" si="158"/>
        <v/>
      </c>
      <c r="G303" s="262" t="str">
        <f t="shared" si="158"/>
        <v/>
      </c>
      <c r="H303" s="263" t="str">
        <f t="shared" si="159"/>
        <v/>
      </c>
      <c r="I303" s="264">
        <f t="shared" ref="I303:S303" si="179">+IF(ISNONTEXT(H78),IF(H78&lt;&gt;0,I78/H78-1,""),"")</f>
        <v>0.48944100357109943</v>
      </c>
      <c r="J303" s="265">
        <f t="shared" si="179"/>
        <v>-0.8676189822000987</v>
      </c>
      <c r="K303" s="265">
        <f t="shared" si="179"/>
        <v>-1</v>
      </c>
      <c r="L303" s="265" t="str">
        <f t="shared" si="179"/>
        <v/>
      </c>
      <c r="M303" s="265" t="str">
        <f t="shared" si="179"/>
        <v/>
      </c>
      <c r="N303" s="265" t="str">
        <f t="shared" si="179"/>
        <v/>
      </c>
      <c r="O303" s="265" t="str">
        <f t="shared" si="179"/>
        <v/>
      </c>
      <c r="P303" s="265" t="str">
        <f t="shared" si="179"/>
        <v/>
      </c>
      <c r="Q303" s="265" t="str">
        <f t="shared" si="179"/>
        <v/>
      </c>
      <c r="R303" s="265" t="str">
        <f t="shared" si="179"/>
        <v/>
      </c>
      <c r="S303" s="265" t="str">
        <f t="shared" si="179"/>
        <v/>
      </c>
    </row>
    <row r="304" spans="2:20" ht="25.5" customHeight="1" outlineLevel="3">
      <c r="B304" s="34" t="s">
        <v>148</v>
      </c>
      <c r="C304" s="204" t="s">
        <v>265</v>
      </c>
      <c r="D304" s="206" t="s">
        <v>265</v>
      </c>
      <c r="E304" s="261" t="s">
        <v>44</v>
      </c>
      <c r="F304" s="262" t="str">
        <f t="shared" ref="F304:G323" si="180">+IF(ISNONTEXT(E79),IF(E79&lt;&gt;0,F79/E79-1,""),"")</f>
        <v/>
      </c>
      <c r="G304" s="262" t="str">
        <f t="shared" si="180"/>
        <v/>
      </c>
      <c r="H304" s="263" t="str">
        <f t="shared" si="159"/>
        <v/>
      </c>
      <c r="I304" s="264" t="str">
        <f t="shared" ref="I304:S304" si="181">+IF(ISNONTEXT(H79),IF(H79&lt;&gt;0,I79/H79-1,""),"")</f>
        <v/>
      </c>
      <c r="J304" s="265">
        <f t="shared" si="181"/>
        <v>-1</v>
      </c>
      <c r="K304" s="265" t="str">
        <f t="shared" si="181"/>
        <v/>
      </c>
      <c r="L304" s="265" t="str">
        <f t="shared" si="181"/>
        <v/>
      </c>
      <c r="M304" s="265" t="str">
        <f t="shared" si="181"/>
        <v/>
      </c>
      <c r="N304" s="265" t="str">
        <f t="shared" si="181"/>
        <v/>
      </c>
      <c r="O304" s="265" t="str">
        <f t="shared" si="181"/>
        <v/>
      </c>
      <c r="P304" s="265" t="str">
        <f t="shared" si="181"/>
        <v/>
      </c>
      <c r="Q304" s="265" t="str">
        <f t="shared" si="181"/>
        <v/>
      </c>
      <c r="R304" s="265" t="str">
        <f t="shared" si="181"/>
        <v/>
      </c>
      <c r="S304" s="265" t="str">
        <f t="shared" si="181"/>
        <v/>
      </c>
    </row>
    <row r="305" spans="1:20" ht="25.5" customHeight="1" outlineLevel="2">
      <c r="B305" s="34" t="s">
        <v>209</v>
      </c>
      <c r="C305" s="204" t="s">
        <v>267</v>
      </c>
      <c r="D305" s="205" t="s">
        <v>267</v>
      </c>
      <c r="E305" s="261" t="s">
        <v>44</v>
      </c>
      <c r="F305" s="262" t="str">
        <f t="shared" si="180"/>
        <v/>
      </c>
      <c r="G305" s="262" t="str">
        <f t="shared" si="180"/>
        <v/>
      </c>
      <c r="H305" s="263" t="str">
        <f t="shared" si="159"/>
        <v/>
      </c>
      <c r="I305" s="264" t="str">
        <f t="shared" ref="I305:S305" si="182">+IF(ISNONTEXT(H80),IF(H80&lt;&gt;0,I80/H80-1,""),"")</f>
        <v/>
      </c>
      <c r="J305" s="265">
        <f t="shared" si="182"/>
        <v>-1</v>
      </c>
      <c r="K305" s="265" t="str">
        <f t="shared" si="182"/>
        <v/>
      </c>
      <c r="L305" s="265" t="str">
        <f t="shared" si="182"/>
        <v/>
      </c>
      <c r="M305" s="265" t="str">
        <f t="shared" si="182"/>
        <v/>
      </c>
      <c r="N305" s="265" t="str">
        <f t="shared" si="182"/>
        <v/>
      </c>
      <c r="O305" s="265" t="str">
        <f t="shared" si="182"/>
        <v/>
      </c>
      <c r="P305" s="265" t="str">
        <f t="shared" si="182"/>
        <v/>
      </c>
      <c r="Q305" s="265" t="str">
        <f t="shared" si="182"/>
        <v/>
      </c>
      <c r="R305" s="265" t="str">
        <f t="shared" si="182"/>
        <v/>
      </c>
      <c r="S305" s="265" t="str">
        <f t="shared" si="182"/>
        <v/>
      </c>
    </row>
    <row r="306" spans="1:20" ht="15" customHeight="1" outlineLevel="3">
      <c r="B306" s="34" t="s">
        <v>151</v>
      </c>
      <c r="C306" s="204" t="s">
        <v>268</v>
      </c>
      <c r="D306" s="206" t="s">
        <v>268</v>
      </c>
      <c r="E306" s="261" t="s">
        <v>44</v>
      </c>
      <c r="F306" s="262" t="str">
        <f t="shared" si="180"/>
        <v/>
      </c>
      <c r="G306" s="262" t="str">
        <f t="shared" si="180"/>
        <v/>
      </c>
      <c r="H306" s="263" t="str">
        <f t="shared" si="159"/>
        <v/>
      </c>
      <c r="I306" s="264">
        <f t="shared" ref="I306:S306" si="183">+IF(ISNONTEXT(H81),IF(H81&lt;&gt;0,I81/H81-1,""),"")</f>
        <v>-0.84226429837272077</v>
      </c>
      <c r="J306" s="265">
        <f t="shared" si="183"/>
        <v>-1</v>
      </c>
      <c r="K306" s="265" t="str">
        <f t="shared" si="183"/>
        <v/>
      </c>
      <c r="L306" s="265" t="str">
        <f t="shared" si="183"/>
        <v/>
      </c>
      <c r="M306" s="265" t="str">
        <f t="shared" si="183"/>
        <v/>
      </c>
      <c r="N306" s="265" t="str">
        <f t="shared" si="183"/>
        <v/>
      </c>
      <c r="O306" s="265" t="str">
        <f t="shared" si="183"/>
        <v/>
      </c>
      <c r="P306" s="265" t="str">
        <f t="shared" si="183"/>
        <v/>
      </c>
      <c r="Q306" s="265" t="str">
        <f t="shared" si="183"/>
        <v/>
      </c>
      <c r="R306" s="265" t="str">
        <f t="shared" si="183"/>
        <v/>
      </c>
      <c r="S306" s="265" t="str">
        <f t="shared" si="183"/>
        <v/>
      </c>
    </row>
    <row r="307" spans="1:20" ht="25.5" customHeight="1" outlineLevel="3">
      <c r="B307" s="34" t="s">
        <v>153</v>
      </c>
      <c r="C307" s="204" t="s">
        <v>269</v>
      </c>
      <c r="D307" s="206" t="s">
        <v>269</v>
      </c>
      <c r="E307" s="261" t="s">
        <v>44</v>
      </c>
      <c r="F307" s="262" t="str">
        <f t="shared" si="180"/>
        <v/>
      </c>
      <c r="G307" s="262" t="str">
        <f t="shared" si="180"/>
        <v/>
      </c>
      <c r="H307" s="263" t="str">
        <f t="shared" si="159"/>
        <v/>
      </c>
      <c r="I307" s="264" t="str">
        <f t="shared" ref="I307:S307" si="184">+IF(ISNONTEXT(H82),IF(H82&lt;&gt;0,I82/H82-1,""),"")</f>
        <v/>
      </c>
      <c r="J307" s="265">
        <f t="shared" si="184"/>
        <v>-1</v>
      </c>
      <c r="K307" s="265" t="str">
        <f t="shared" si="184"/>
        <v/>
      </c>
      <c r="L307" s="265" t="str">
        <f t="shared" si="184"/>
        <v/>
      </c>
      <c r="M307" s="265" t="str">
        <f t="shared" si="184"/>
        <v/>
      </c>
      <c r="N307" s="265" t="str">
        <f t="shared" si="184"/>
        <v/>
      </c>
      <c r="O307" s="265" t="str">
        <f t="shared" si="184"/>
        <v/>
      </c>
      <c r="P307" s="265" t="str">
        <f t="shared" si="184"/>
        <v/>
      </c>
      <c r="Q307" s="265" t="str">
        <f t="shared" si="184"/>
        <v/>
      </c>
      <c r="R307" s="265" t="str">
        <f t="shared" si="184"/>
        <v/>
      </c>
      <c r="S307" s="265" t="str">
        <f t="shared" si="184"/>
        <v/>
      </c>
    </row>
    <row r="308" spans="1:20" ht="25.5" customHeight="1" outlineLevel="1">
      <c r="B308" s="33">
        <v>13</v>
      </c>
      <c r="C308" s="219" t="s">
        <v>155</v>
      </c>
      <c r="D308" s="202" t="s">
        <v>155</v>
      </c>
      <c r="E308" s="256" t="s">
        <v>44</v>
      </c>
      <c r="F308" s="267" t="str">
        <f t="shared" si="180"/>
        <v/>
      </c>
      <c r="G308" s="267" t="str">
        <f t="shared" si="180"/>
        <v/>
      </c>
      <c r="H308" s="258" t="str">
        <f t="shared" si="159"/>
        <v/>
      </c>
      <c r="I308" s="268" t="str">
        <f t="shared" ref="I308:S308" si="185">+IF(ISNONTEXT(H83),IF(H83&lt;&gt;0,I83/H83-1,""),"")</f>
        <v/>
      </c>
      <c r="J308" s="269" t="str">
        <f t="shared" si="185"/>
        <v/>
      </c>
      <c r="K308" s="269" t="str">
        <f t="shared" si="185"/>
        <v/>
      </c>
      <c r="L308" s="269" t="str">
        <f t="shared" si="185"/>
        <v/>
      </c>
      <c r="M308" s="269" t="str">
        <f t="shared" si="185"/>
        <v/>
      </c>
      <c r="N308" s="269" t="str">
        <f t="shared" si="185"/>
        <v/>
      </c>
      <c r="O308" s="269" t="str">
        <f t="shared" si="185"/>
        <v/>
      </c>
      <c r="P308" s="269" t="str">
        <f t="shared" si="185"/>
        <v/>
      </c>
      <c r="Q308" s="269" t="str">
        <f t="shared" si="185"/>
        <v/>
      </c>
      <c r="R308" s="269" t="str">
        <f t="shared" si="185"/>
        <v/>
      </c>
      <c r="S308" s="269" t="str">
        <f t="shared" si="185"/>
        <v/>
      </c>
      <c r="T308" s="31"/>
    </row>
    <row r="309" spans="1:20" ht="25.5" customHeight="1" outlineLevel="2">
      <c r="B309" s="34" t="s">
        <v>210</v>
      </c>
      <c r="C309" s="204" t="s">
        <v>270</v>
      </c>
      <c r="D309" s="205" t="s">
        <v>270</v>
      </c>
      <c r="E309" s="261" t="s">
        <v>44</v>
      </c>
      <c r="F309" s="262" t="str">
        <f t="shared" si="180"/>
        <v/>
      </c>
      <c r="G309" s="262" t="str">
        <f t="shared" si="180"/>
        <v/>
      </c>
      <c r="H309" s="263" t="str">
        <f t="shared" si="159"/>
        <v/>
      </c>
      <c r="I309" s="264" t="str">
        <f t="shared" ref="I309:S309" si="186">+IF(ISNONTEXT(H84),IF(H84&lt;&gt;0,I84/H84-1,""),"")</f>
        <v/>
      </c>
      <c r="J309" s="265" t="str">
        <f t="shared" si="186"/>
        <v/>
      </c>
      <c r="K309" s="265" t="str">
        <f t="shared" si="186"/>
        <v/>
      </c>
      <c r="L309" s="265" t="str">
        <f t="shared" si="186"/>
        <v/>
      </c>
      <c r="M309" s="265" t="str">
        <f t="shared" si="186"/>
        <v/>
      </c>
      <c r="N309" s="265" t="str">
        <f t="shared" si="186"/>
        <v/>
      </c>
      <c r="O309" s="265" t="str">
        <f t="shared" si="186"/>
        <v/>
      </c>
      <c r="P309" s="265" t="str">
        <f t="shared" si="186"/>
        <v/>
      </c>
      <c r="Q309" s="265" t="str">
        <f t="shared" si="186"/>
        <v/>
      </c>
      <c r="R309" s="265" t="str">
        <f t="shared" si="186"/>
        <v/>
      </c>
      <c r="S309" s="265" t="str">
        <f t="shared" si="186"/>
        <v/>
      </c>
    </row>
    <row r="310" spans="1:20" ht="25.5" customHeight="1" outlineLevel="2">
      <c r="B310" s="34" t="s">
        <v>211</v>
      </c>
      <c r="C310" s="204" t="s">
        <v>429</v>
      </c>
      <c r="D310" s="205" t="s">
        <v>429</v>
      </c>
      <c r="E310" s="261" t="s">
        <v>44</v>
      </c>
      <c r="F310" s="262" t="str">
        <f t="shared" si="180"/>
        <v/>
      </c>
      <c r="G310" s="262" t="str">
        <f t="shared" si="180"/>
        <v/>
      </c>
      <c r="H310" s="263" t="str">
        <f t="shared" si="159"/>
        <v/>
      </c>
      <c r="I310" s="264" t="str">
        <f t="shared" ref="I310:S310" si="187">+IF(ISNONTEXT(H85),IF(H85&lt;&gt;0,I85/H85-1,""),"")</f>
        <v/>
      </c>
      <c r="J310" s="265" t="str">
        <f t="shared" si="187"/>
        <v/>
      </c>
      <c r="K310" s="265" t="str">
        <f t="shared" si="187"/>
        <v/>
      </c>
      <c r="L310" s="265" t="str">
        <f t="shared" si="187"/>
        <v/>
      </c>
      <c r="M310" s="265" t="str">
        <f t="shared" si="187"/>
        <v/>
      </c>
      <c r="N310" s="265" t="str">
        <f t="shared" si="187"/>
        <v/>
      </c>
      <c r="O310" s="265" t="str">
        <f t="shared" si="187"/>
        <v/>
      </c>
      <c r="P310" s="265" t="str">
        <f t="shared" si="187"/>
        <v/>
      </c>
      <c r="Q310" s="265" t="str">
        <f t="shared" si="187"/>
        <v/>
      </c>
      <c r="R310" s="265" t="str">
        <f t="shared" si="187"/>
        <v/>
      </c>
      <c r="S310" s="265" t="str">
        <f t="shared" si="187"/>
        <v/>
      </c>
    </row>
    <row r="311" spans="1:20" ht="25.5" customHeight="1" outlineLevel="2">
      <c r="B311" s="34" t="s">
        <v>212</v>
      </c>
      <c r="C311" s="204" t="s">
        <v>271</v>
      </c>
      <c r="D311" s="205" t="s">
        <v>271</v>
      </c>
      <c r="E311" s="261" t="s">
        <v>44</v>
      </c>
      <c r="F311" s="262" t="str">
        <f t="shared" si="180"/>
        <v/>
      </c>
      <c r="G311" s="262" t="str">
        <f t="shared" si="180"/>
        <v/>
      </c>
      <c r="H311" s="263" t="str">
        <f t="shared" si="159"/>
        <v/>
      </c>
      <c r="I311" s="264" t="str">
        <f t="shared" ref="I311:S311" si="188">+IF(ISNONTEXT(H86),IF(H86&lt;&gt;0,I86/H86-1,""),"")</f>
        <v/>
      </c>
      <c r="J311" s="265" t="str">
        <f t="shared" si="188"/>
        <v/>
      </c>
      <c r="K311" s="265" t="str">
        <f t="shared" si="188"/>
        <v/>
      </c>
      <c r="L311" s="265" t="str">
        <f t="shared" si="188"/>
        <v/>
      </c>
      <c r="M311" s="265" t="str">
        <f t="shared" si="188"/>
        <v/>
      </c>
      <c r="N311" s="265" t="str">
        <f t="shared" si="188"/>
        <v/>
      </c>
      <c r="O311" s="265" t="str">
        <f t="shared" si="188"/>
        <v/>
      </c>
      <c r="P311" s="265" t="str">
        <f t="shared" si="188"/>
        <v/>
      </c>
      <c r="Q311" s="265" t="str">
        <f t="shared" si="188"/>
        <v/>
      </c>
      <c r="R311" s="265" t="str">
        <f t="shared" si="188"/>
        <v/>
      </c>
      <c r="S311" s="265" t="str">
        <f t="shared" si="188"/>
        <v/>
      </c>
    </row>
    <row r="312" spans="1:20" ht="25.5" customHeight="1" outlineLevel="2">
      <c r="B312" s="34" t="s">
        <v>213</v>
      </c>
      <c r="C312" s="204" t="s">
        <v>430</v>
      </c>
      <c r="D312" s="205" t="s">
        <v>430</v>
      </c>
      <c r="E312" s="261" t="s">
        <v>44</v>
      </c>
      <c r="F312" s="262" t="str">
        <f t="shared" si="180"/>
        <v/>
      </c>
      <c r="G312" s="262" t="str">
        <f t="shared" si="180"/>
        <v/>
      </c>
      <c r="H312" s="263" t="str">
        <f t="shared" si="159"/>
        <v/>
      </c>
      <c r="I312" s="264" t="str">
        <f t="shared" ref="I312:S312" si="189">+IF(ISNONTEXT(H87),IF(H87&lt;&gt;0,I87/H87-1,""),"")</f>
        <v/>
      </c>
      <c r="J312" s="265" t="str">
        <f t="shared" si="189"/>
        <v/>
      </c>
      <c r="K312" s="265" t="str">
        <f t="shared" si="189"/>
        <v/>
      </c>
      <c r="L312" s="265" t="str">
        <f t="shared" si="189"/>
        <v/>
      </c>
      <c r="M312" s="265" t="str">
        <f t="shared" si="189"/>
        <v/>
      </c>
      <c r="N312" s="265" t="str">
        <f t="shared" si="189"/>
        <v/>
      </c>
      <c r="O312" s="265" t="str">
        <f t="shared" si="189"/>
        <v/>
      </c>
      <c r="P312" s="265" t="str">
        <f t="shared" si="189"/>
        <v/>
      </c>
      <c r="Q312" s="265" t="str">
        <f t="shared" si="189"/>
        <v/>
      </c>
      <c r="R312" s="265" t="str">
        <f t="shared" si="189"/>
        <v/>
      </c>
      <c r="S312" s="265" t="str">
        <f t="shared" si="189"/>
        <v/>
      </c>
    </row>
    <row r="313" spans="1:20" ht="25.5" customHeight="1" outlineLevel="2">
      <c r="B313" s="34" t="s">
        <v>214</v>
      </c>
      <c r="C313" s="204" t="s">
        <v>431</v>
      </c>
      <c r="D313" s="205" t="s">
        <v>431</v>
      </c>
      <c r="E313" s="261" t="s">
        <v>44</v>
      </c>
      <c r="F313" s="262" t="str">
        <f t="shared" si="180"/>
        <v/>
      </c>
      <c r="G313" s="262" t="str">
        <f t="shared" si="180"/>
        <v/>
      </c>
      <c r="H313" s="263" t="str">
        <f t="shared" si="159"/>
        <v/>
      </c>
      <c r="I313" s="264" t="str">
        <f t="shared" ref="I313:S313" si="190">+IF(ISNONTEXT(H88),IF(H88&lt;&gt;0,I88/H88-1,""),"")</f>
        <v/>
      </c>
      <c r="J313" s="265" t="str">
        <f t="shared" si="190"/>
        <v/>
      </c>
      <c r="K313" s="265" t="str">
        <f t="shared" si="190"/>
        <v/>
      </c>
      <c r="L313" s="265" t="str">
        <f t="shared" si="190"/>
        <v/>
      </c>
      <c r="M313" s="265" t="str">
        <f t="shared" si="190"/>
        <v/>
      </c>
      <c r="N313" s="265" t="str">
        <f t="shared" si="190"/>
        <v/>
      </c>
      <c r="O313" s="265" t="str">
        <f t="shared" si="190"/>
        <v/>
      </c>
      <c r="P313" s="265" t="str">
        <f t="shared" si="190"/>
        <v/>
      </c>
      <c r="Q313" s="265" t="str">
        <f t="shared" si="190"/>
        <v/>
      </c>
      <c r="R313" s="265" t="str">
        <f t="shared" si="190"/>
        <v/>
      </c>
      <c r="S313" s="265" t="str">
        <f t="shared" si="190"/>
        <v/>
      </c>
    </row>
    <row r="314" spans="1:20" ht="25.5" customHeight="1" outlineLevel="2">
      <c r="B314" s="34" t="s">
        <v>215</v>
      </c>
      <c r="C314" s="204" t="s">
        <v>272</v>
      </c>
      <c r="D314" s="205" t="s">
        <v>272</v>
      </c>
      <c r="E314" s="261" t="s">
        <v>44</v>
      </c>
      <c r="F314" s="262" t="str">
        <f t="shared" si="180"/>
        <v/>
      </c>
      <c r="G314" s="262" t="str">
        <f t="shared" si="180"/>
        <v/>
      </c>
      <c r="H314" s="263" t="str">
        <f t="shared" si="159"/>
        <v/>
      </c>
      <c r="I314" s="264" t="str">
        <f t="shared" ref="I314:S314" si="191">+IF(ISNONTEXT(H89),IF(H89&lt;&gt;0,I89/H89-1,""),"")</f>
        <v/>
      </c>
      <c r="J314" s="265" t="str">
        <f t="shared" si="191"/>
        <v/>
      </c>
      <c r="K314" s="265" t="str">
        <f t="shared" si="191"/>
        <v/>
      </c>
      <c r="L314" s="265" t="str">
        <f t="shared" si="191"/>
        <v/>
      </c>
      <c r="M314" s="265" t="str">
        <f t="shared" si="191"/>
        <v/>
      </c>
      <c r="N314" s="265" t="str">
        <f t="shared" si="191"/>
        <v/>
      </c>
      <c r="O314" s="265" t="str">
        <f t="shared" si="191"/>
        <v/>
      </c>
      <c r="P314" s="265" t="str">
        <f t="shared" si="191"/>
        <v/>
      </c>
      <c r="Q314" s="265" t="str">
        <f t="shared" si="191"/>
        <v/>
      </c>
      <c r="R314" s="265" t="str">
        <f t="shared" si="191"/>
        <v/>
      </c>
      <c r="S314" s="265" t="str">
        <f t="shared" si="191"/>
        <v/>
      </c>
    </row>
    <row r="315" spans="1:20" ht="25.5" customHeight="1" outlineLevel="2">
      <c r="B315" s="34" t="s">
        <v>216</v>
      </c>
      <c r="C315" s="204" t="s">
        <v>273</v>
      </c>
      <c r="D315" s="205" t="s">
        <v>273</v>
      </c>
      <c r="E315" s="261" t="s">
        <v>44</v>
      </c>
      <c r="F315" s="262" t="str">
        <f t="shared" si="180"/>
        <v/>
      </c>
      <c r="G315" s="262" t="str">
        <f t="shared" si="180"/>
        <v/>
      </c>
      <c r="H315" s="263" t="str">
        <f t="shared" si="159"/>
        <v/>
      </c>
      <c r="I315" s="264" t="str">
        <f t="shared" ref="I315:S315" si="192">+IF(ISNONTEXT(H90),IF(H90&lt;&gt;0,I90/H90-1,""),"")</f>
        <v/>
      </c>
      <c r="J315" s="265" t="str">
        <f t="shared" si="192"/>
        <v/>
      </c>
      <c r="K315" s="265" t="str">
        <f t="shared" si="192"/>
        <v/>
      </c>
      <c r="L315" s="265" t="str">
        <f t="shared" si="192"/>
        <v/>
      </c>
      <c r="M315" s="265" t="str">
        <f t="shared" si="192"/>
        <v/>
      </c>
      <c r="N315" s="265" t="str">
        <f t="shared" si="192"/>
        <v/>
      </c>
      <c r="O315" s="265" t="str">
        <f t="shared" si="192"/>
        <v/>
      </c>
      <c r="P315" s="265" t="str">
        <f t="shared" si="192"/>
        <v/>
      </c>
      <c r="Q315" s="265" t="str">
        <f t="shared" si="192"/>
        <v/>
      </c>
      <c r="R315" s="265" t="str">
        <f t="shared" si="192"/>
        <v/>
      </c>
      <c r="S315" s="265" t="str">
        <f t="shared" si="192"/>
        <v/>
      </c>
    </row>
    <row r="316" spans="1:20" ht="15" customHeight="1" outlineLevel="1">
      <c r="A316" s="218" t="s">
        <v>44</v>
      </c>
      <c r="B316" s="33">
        <v>14</v>
      </c>
      <c r="C316" s="219" t="s">
        <v>163</v>
      </c>
      <c r="D316" s="203" t="s">
        <v>163</v>
      </c>
      <c r="E316" s="256" t="s">
        <v>44</v>
      </c>
      <c r="F316" s="267" t="str">
        <f t="shared" si="180"/>
        <v/>
      </c>
      <c r="G316" s="267" t="str">
        <f t="shared" si="180"/>
        <v/>
      </c>
      <c r="H316" s="258" t="str">
        <f t="shared" si="159"/>
        <v/>
      </c>
      <c r="I316" s="268" t="str">
        <f t="shared" ref="I316:S316" si="193">+IF(ISNONTEXT(H91),IF(H91&lt;&gt;0,I91/H91-1,""),"")</f>
        <v/>
      </c>
      <c r="J316" s="269" t="str">
        <f t="shared" si="193"/>
        <v/>
      </c>
      <c r="K316" s="269" t="str">
        <f t="shared" si="193"/>
        <v/>
      </c>
      <c r="L316" s="269" t="str">
        <f t="shared" si="193"/>
        <v/>
      </c>
      <c r="M316" s="269" t="str">
        <f t="shared" si="193"/>
        <v/>
      </c>
      <c r="N316" s="269" t="str">
        <f t="shared" si="193"/>
        <v/>
      </c>
      <c r="O316" s="269" t="str">
        <f t="shared" si="193"/>
        <v/>
      </c>
      <c r="P316" s="269" t="str">
        <f t="shared" si="193"/>
        <v/>
      </c>
      <c r="Q316" s="269" t="str">
        <f t="shared" si="193"/>
        <v/>
      </c>
      <c r="R316" s="269" t="str">
        <f t="shared" si="193"/>
        <v/>
      </c>
      <c r="S316" s="269" t="str">
        <f t="shared" si="193"/>
        <v/>
      </c>
      <c r="T316" s="31"/>
    </row>
    <row r="317" spans="1:20" ht="25.5" customHeight="1" outlineLevel="2">
      <c r="A317" s="218" t="s">
        <v>44</v>
      </c>
      <c r="B317" s="34" t="s">
        <v>217</v>
      </c>
      <c r="C317" s="204" t="s">
        <v>274</v>
      </c>
      <c r="D317" s="205" t="s">
        <v>274</v>
      </c>
      <c r="E317" s="261" t="s">
        <v>44</v>
      </c>
      <c r="F317" s="262" t="str">
        <f t="shared" si="180"/>
        <v/>
      </c>
      <c r="G317" s="262" t="str">
        <f t="shared" si="180"/>
        <v/>
      </c>
      <c r="H317" s="263" t="str">
        <f t="shared" si="159"/>
        <v/>
      </c>
      <c r="I317" s="264" t="str">
        <f t="shared" ref="I317:S317" si="194">+IF(ISNONTEXT(H92),IF(H92&lt;&gt;0,I92/H92-1,""),"")</f>
        <v/>
      </c>
      <c r="J317" s="265">
        <f t="shared" si="194"/>
        <v>-0.80083648407643315</v>
      </c>
      <c r="K317" s="265">
        <f t="shared" si="194"/>
        <v>0.29596378978508153</v>
      </c>
      <c r="L317" s="265">
        <f t="shared" si="194"/>
        <v>0.28790516018860046</v>
      </c>
      <c r="M317" s="265">
        <f t="shared" si="194"/>
        <v>0.22354531147809031</v>
      </c>
      <c r="N317" s="265">
        <f t="shared" si="194"/>
        <v>-0.22837396252022757</v>
      </c>
      <c r="O317" s="265">
        <f t="shared" si="194"/>
        <v>-0.11378673038362774</v>
      </c>
      <c r="P317" s="265">
        <f t="shared" si="194"/>
        <v>0</v>
      </c>
      <c r="Q317" s="265">
        <f t="shared" si="194"/>
        <v>-0.45801386865994298</v>
      </c>
      <c r="R317" s="265">
        <f t="shared" si="194"/>
        <v>-0.50703939696114386</v>
      </c>
      <c r="S317" s="265">
        <f t="shared" si="194"/>
        <v>-1</v>
      </c>
    </row>
    <row r="318" spans="1:20" ht="15" customHeight="1" outlineLevel="2">
      <c r="A318" s="218" t="s">
        <v>44</v>
      </c>
      <c r="B318" s="34" t="s">
        <v>218</v>
      </c>
      <c r="C318" s="204" t="s">
        <v>275</v>
      </c>
      <c r="D318" s="205" t="s">
        <v>275</v>
      </c>
      <c r="E318" s="261" t="s">
        <v>44</v>
      </c>
      <c r="F318" s="262" t="str">
        <f t="shared" si="180"/>
        <v/>
      </c>
      <c r="G318" s="262" t="str">
        <f t="shared" si="180"/>
        <v/>
      </c>
      <c r="H318" s="263" t="str">
        <f t="shared" si="159"/>
        <v/>
      </c>
      <c r="I318" s="264" t="str">
        <f t="shared" ref="I318:S318" si="195">+IF(ISNONTEXT(H93),IF(H93&lt;&gt;0,I93/H93-1,""),"")</f>
        <v/>
      </c>
      <c r="J318" s="265" t="str">
        <f t="shared" si="195"/>
        <v/>
      </c>
      <c r="K318" s="265" t="str">
        <f t="shared" si="195"/>
        <v/>
      </c>
      <c r="L318" s="265" t="str">
        <f t="shared" si="195"/>
        <v/>
      </c>
      <c r="M318" s="265" t="str">
        <f t="shared" si="195"/>
        <v/>
      </c>
      <c r="N318" s="265" t="str">
        <f t="shared" si="195"/>
        <v/>
      </c>
      <c r="O318" s="265" t="str">
        <f t="shared" si="195"/>
        <v/>
      </c>
      <c r="P318" s="265" t="str">
        <f t="shared" si="195"/>
        <v/>
      </c>
      <c r="Q318" s="265" t="str">
        <f t="shared" si="195"/>
        <v/>
      </c>
      <c r="R318" s="265" t="str">
        <f t="shared" si="195"/>
        <v/>
      </c>
      <c r="S318" s="265" t="str">
        <f t="shared" si="195"/>
        <v/>
      </c>
    </row>
    <row r="319" spans="1:20" ht="15" customHeight="1" outlineLevel="2">
      <c r="A319" s="218" t="s">
        <v>44</v>
      </c>
      <c r="B319" s="34" t="s">
        <v>219</v>
      </c>
      <c r="C319" s="204" t="s">
        <v>277</v>
      </c>
      <c r="D319" s="205" t="s">
        <v>277</v>
      </c>
      <c r="E319" s="261" t="s">
        <v>44</v>
      </c>
      <c r="F319" s="262" t="str">
        <f t="shared" si="180"/>
        <v/>
      </c>
      <c r="G319" s="262" t="str">
        <f t="shared" si="180"/>
        <v/>
      </c>
      <c r="H319" s="263" t="str">
        <f t="shared" si="159"/>
        <v/>
      </c>
      <c r="I319" s="264" t="str">
        <f t="shared" ref="I319:S319" si="196">+IF(ISNONTEXT(H94),IF(H94&lt;&gt;0,I94/H94-1,""),"")</f>
        <v/>
      </c>
      <c r="J319" s="265" t="str">
        <f t="shared" si="196"/>
        <v/>
      </c>
      <c r="K319" s="265" t="str">
        <f t="shared" si="196"/>
        <v/>
      </c>
      <c r="L319" s="265" t="str">
        <f t="shared" si="196"/>
        <v/>
      </c>
      <c r="M319" s="265" t="str">
        <f t="shared" si="196"/>
        <v/>
      </c>
      <c r="N319" s="265" t="str">
        <f t="shared" si="196"/>
        <v/>
      </c>
      <c r="O319" s="265" t="str">
        <f t="shared" si="196"/>
        <v/>
      </c>
      <c r="P319" s="265" t="str">
        <f t="shared" si="196"/>
        <v/>
      </c>
      <c r="Q319" s="265" t="str">
        <f t="shared" si="196"/>
        <v/>
      </c>
      <c r="R319" s="265" t="str">
        <f t="shared" si="196"/>
        <v/>
      </c>
      <c r="S319" s="265" t="str">
        <f t="shared" si="196"/>
        <v/>
      </c>
    </row>
    <row r="320" spans="1:20" ht="15" customHeight="1" outlineLevel="3">
      <c r="A320" s="218" t="s">
        <v>44</v>
      </c>
      <c r="B320" s="34" t="s">
        <v>167</v>
      </c>
      <c r="C320" s="204" t="s">
        <v>276</v>
      </c>
      <c r="D320" s="206" t="s">
        <v>276</v>
      </c>
      <c r="E320" s="261" t="s">
        <v>44</v>
      </c>
      <c r="F320" s="262" t="str">
        <f t="shared" si="180"/>
        <v/>
      </c>
      <c r="G320" s="262" t="str">
        <f t="shared" si="180"/>
        <v/>
      </c>
      <c r="H320" s="263" t="str">
        <f t="shared" si="159"/>
        <v/>
      </c>
      <c r="I320" s="264" t="str">
        <f t="shared" ref="I320:S320" si="197">+IF(ISNONTEXT(H95),IF(H95&lt;&gt;0,I95/H95-1,""),"")</f>
        <v/>
      </c>
      <c r="J320" s="265" t="str">
        <f t="shared" si="197"/>
        <v/>
      </c>
      <c r="K320" s="265" t="str">
        <f t="shared" si="197"/>
        <v/>
      </c>
      <c r="L320" s="265" t="str">
        <f t="shared" si="197"/>
        <v/>
      </c>
      <c r="M320" s="265" t="str">
        <f t="shared" si="197"/>
        <v/>
      </c>
      <c r="N320" s="265" t="str">
        <f t="shared" si="197"/>
        <v/>
      </c>
      <c r="O320" s="265" t="str">
        <f t="shared" si="197"/>
        <v/>
      </c>
      <c r="P320" s="265" t="str">
        <f t="shared" si="197"/>
        <v/>
      </c>
      <c r="Q320" s="265" t="str">
        <f t="shared" si="197"/>
        <v/>
      </c>
      <c r="R320" s="265" t="str">
        <f t="shared" si="197"/>
        <v/>
      </c>
      <c r="S320" s="265" t="str">
        <f t="shared" si="197"/>
        <v/>
      </c>
    </row>
    <row r="321" spans="1:19" ht="15" customHeight="1" outlineLevel="3">
      <c r="A321" s="218" t="s">
        <v>44</v>
      </c>
      <c r="B321" s="34" t="s">
        <v>169</v>
      </c>
      <c r="C321" s="204" t="s">
        <v>278</v>
      </c>
      <c r="D321" s="206" t="s">
        <v>278</v>
      </c>
      <c r="E321" s="261" t="s">
        <v>44</v>
      </c>
      <c r="F321" s="262" t="str">
        <f t="shared" si="180"/>
        <v/>
      </c>
      <c r="G321" s="262" t="str">
        <f t="shared" si="180"/>
        <v/>
      </c>
      <c r="H321" s="263" t="str">
        <f t="shared" si="159"/>
        <v/>
      </c>
      <c r="I321" s="264" t="str">
        <f t="shared" ref="I321:S321" si="198">+IF(ISNONTEXT(H96),IF(H96&lt;&gt;0,I96/H96-1,""),"")</f>
        <v/>
      </c>
      <c r="J321" s="265" t="str">
        <f t="shared" si="198"/>
        <v/>
      </c>
      <c r="K321" s="265" t="str">
        <f t="shared" si="198"/>
        <v/>
      </c>
      <c r="L321" s="265" t="str">
        <f t="shared" si="198"/>
        <v/>
      </c>
      <c r="M321" s="265" t="str">
        <f t="shared" si="198"/>
        <v/>
      </c>
      <c r="N321" s="265" t="str">
        <f t="shared" si="198"/>
        <v/>
      </c>
      <c r="O321" s="265" t="str">
        <f t="shared" si="198"/>
        <v/>
      </c>
      <c r="P321" s="265" t="str">
        <f t="shared" si="198"/>
        <v/>
      </c>
      <c r="Q321" s="265" t="str">
        <f t="shared" si="198"/>
        <v/>
      </c>
      <c r="R321" s="265" t="str">
        <f t="shared" si="198"/>
        <v/>
      </c>
      <c r="S321" s="265" t="str">
        <f t="shared" si="198"/>
        <v/>
      </c>
    </row>
    <row r="322" spans="1:19" ht="15" customHeight="1" outlineLevel="3">
      <c r="A322" s="218" t="s">
        <v>44</v>
      </c>
      <c r="B322" s="34" t="s">
        <v>171</v>
      </c>
      <c r="C322" s="204" t="s">
        <v>279</v>
      </c>
      <c r="D322" s="206" t="s">
        <v>279</v>
      </c>
      <c r="E322" s="261" t="s">
        <v>44</v>
      </c>
      <c r="F322" s="262" t="str">
        <f t="shared" si="180"/>
        <v/>
      </c>
      <c r="G322" s="262" t="str">
        <f t="shared" si="180"/>
        <v/>
      </c>
      <c r="H322" s="263" t="str">
        <f t="shared" si="159"/>
        <v/>
      </c>
      <c r="I322" s="264" t="str">
        <f t="shared" ref="I322:S322" si="199">+IF(ISNONTEXT(H97),IF(H97&lt;&gt;0,I97/H97-1,""),"")</f>
        <v/>
      </c>
      <c r="J322" s="265" t="str">
        <f t="shared" si="199"/>
        <v/>
      </c>
      <c r="K322" s="265" t="str">
        <f t="shared" si="199"/>
        <v/>
      </c>
      <c r="L322" s="265" t="str">
        <f t="shared" si="199"/>
        <v/>
      </c>
      <c r="M322" s="265" t="str">
        <f t="shared" si="199"/>
        <v/>
      </c>
      <c r="N322" s="265" t="str">
        <f t="shared" si="199"/>
        <v/>
      </c>
      <c r="O322" s="265" t="str">
        <f t="shared" si="199"/>
        <v/>
      </c>
      <c r="P322" s="265" t="str">
        <f t="shared" si="199"/>
        <v/>
      </c>
      <c r="Q322" s="265" t="str">
        <f t="shared" si="199"/>
        <v/>
      </c>
      <c r="R322" s="265" t="str">
        <f t="shared" si="199"/>
        <v/>
      </c>
      <c r="S322" s="265" t="str">
        <f t="shared" si="199"/>
        <v/>
      </c>
    </row>
    <row r="323" spans="1:19" ht="15" customHeight="1" outlineLevel="2">
      <c r="A323" s="218" t="s">
        <v>44</v>
      </c>
      <c r="B323" s="35" t="s">
        <v>220</v>
      </c>
      <c r="C323" s="220" t="s">
        <v>280</v>
      </c>
      <c r="D323" s="215" t="s">
        <v>280</v>
      </c>
      <c r="E323" s="272" t="s">
        <v>44</v>
      </c>
      <c r="F323" s="273" t="str">
        <f t="shared" si="180"/>
        <v/>
      </c>
      <c r="G323" s="273" t="str">
        <f t="shared" si="180"/>
        <v/>
      </c>
      <c r="H323" s="274" t="str">
        <f t="shared" si="159"/>
        <v/>
      </c>
      <c r="I323" s="275" t="str">
        <f t="shared" ref="I323:S323" si="200">+IF(ISNONTEXT(H98),IF(H98&lt;&gt;0,I98/H98-1,""),"")</f>
        <v/>
      </c>
      <c r="J323" s="276" t="str">
        <f t="shared" si="200"/>
        <v/>
      </c>
      <c r="K323" s="276" t="str">
        <f t="shared" si="200"/>
        <v/>
      </c>
      <c r="L323" s="276" t="str">
        <f t="shared" si="200"/>
        <v/>
      </c>
      <c r="M323" s="276" t="str">
        <f t="shared" si="200"/>
        <v/>
      </c>
      <c r="N323" s="276" t="str">
        <f t="shared" si="200"/>
        <v/>
      </c>
      <c r="O323" s="276" t="str">
        <f t="shared" si="200"/>
        <v/>
      </c>
      <c r="P323" s="276" t="str">
        <f t="shared" si="200"/>
        <v/>
      </c>
      <c r="Q323" s="276" t="str">
        <f t="shared" si="200"/>
        <v/>
      </c>
      <c r="R323" s="276" t="str">
        <f t="shared" si="200"/>
        <v/>
      </c>
      <c r="S323" s="276" t="str">
        <f t="shared" si="200"/>
        <v/>
      </c>
    </row>
  </sheetData>
  <sheetProtection formatCells="0" formatColumns="0" formatRows="0" insertColumns="0" deleteColumns="0"/>
  <autoFilter ref="A3:A98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5">
    <mergeCell ref="R100:S100"/>
    <mergeCell ref="E2:F2"/>
    <mergeCell ref="B2:D2"/>
    <mergeCell ref="J2:L2"/>
    <mergeCell ref="R99:S99"/>
  </mergeCells>
  <phoneticPr fontId="0" type="noConversion"/>
  <conditionalFormatting sqref="I57:S58 I282:S283">
    <cfRule type="expression" dxfId="10" priority="33" stopIfTrue="1">
      <formula>LEFT(I57,3)="Nie"</formula>
    </cfRule>
  </conditionalFormatting>
  <conditionalFormatting sqref="I189:S200">
    <cfRule type="cellIs" dxfId="9" priority="10" stopIfTrue="1" operator="notBetween">
      <formula>-$D$188</formula>
      <formula>$D$188</formula>
    </cfRule>
    <cfRule type="cellIs" dxfId="8" priority="94" stopIfTrue="1" operator="notBetween">
      <formula>-$D$187</formula>
      <formula>$D$187</formula>
    </cfRule>
    <cfRule type="cellIs" dxfId="7" priority="95" stopIfTrue="1" operator="notBetween">
      <formula>-$D$186</formula>
      <formula>$D$186</formula>
    </cfRule>
  </conditionalFormatting>
  <conditionalFormatting sqref="I117:S117">
    <cfRule type="cellIs" dxfId="6" priority="7" stopIfTrue="1" operator="between">
      <formula>0</formula>
      <formula>1000000000000</formula>
    </cfRule>
  </conditionalFormatting>
  <conditionalFormatting sqref="I118:S120">
    <cfRule type="cellIs" dxfId="5" priority="6" stopIfTrue="1" operator="between">
      <formula>-1000000000000</formula>
      <formula>1000000000000</formula>
    </cfRule>
  </conditionalFormatting>
  <conditionalFormatting sqref="I115:S116">
    <cfRule type="cellIs" dxfId="4" priority="5" stopIfTrue="1" operator="between">
      <formula>-1000000000000</formula>
      <formula>1000000000000</formula>
    </cfRule>
  </conditionalFormatting>
  <conditionalFormatting sqref="I121:S167">
    <cfRule type="cellIs" dxfId="3" priority="4" stopIfTrue="1" operator="equal">
      <formula>"BŁĄD"</formula>
    </cfRule>
  </conditionalFormatting>
  <conditionalFormatting sqref="I181:S184">
    <cfRule type="cellIs" dxfId="2" priority="53" stopIfTrue="1" operator="lessThan">
      <formula>$D$178</formula>
    </cfRule>
    <cfRule type="cellIs" dxfId="1" priority="54" stopIfTrue="1" operator="lessThan">
      <formula>$D$179</formula>
    </cfRule>
    <cfRule type="cellIs" dxfId="0" priority="55" stopIfTrue="1" operator="lessThan">
      <formula>$D$180</formula>
    </cfRule>
  </conditionalFormatting>
  <pageMargins left="0.51181102362204722" right="0.51181102362204722" top="0.47244094488188981" bottom="0.47244094488188981" header="0.31496062992125984" footer="0.31496062992125984"/>
  <pageSetup paperSize="9" scale="65" orientation="landscape" blackAndWhite="1" horizontalDpi="4294967293" verticalDpi="4294967293" r:id="rId2"/>
  <headerFooter>
    <oddFooter>&amp;L&amp;"Czcionka tekstu podstawowego,Kursywa"&amp;8Wersja szablonu wydruku: 2013-10-14a&amp;C&amp;8Strona &amp;P z &amp;N&amp;R&amp;8Wydruk z dn.: &amp;D - &amp;T</oddFooter>
  </headerFooter>
  <rowBreaks count="2" manualBreakCount="2">
    <brk id="42" min="1" max="39" man="1"/>
    <brk id="69" min="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9:AH104"/>
  <sheetViews>
    <sheetView topLeftCell="B1" workbookViewId="0">
      <selection activeCell="D9" sqref="D9"/>
    </sheetView>
  </sheetViews>
  <sheetFormatPr defaultRowHeight="11.25"/>
  <cols>
    <col min="1" max="1" width="4.5" style="26" customWidth="1"/>
    <col min="2" max="2" width="6.125" style="26" customWidth="1"/>
    <col min="3" max="3" width="46.375" style="27" customWidth="1"/>
    <col min="4" max="4" width="21" style="27" customWidth="1"/>
    <col min="5" max="5" width="19.875" style="27" customWidth="1"/>
    <col min="6" max="13" width="16.75" style="27" bestFit="1" customWidth="1"/>
    <col min="14" max="16384" width="9" style="27"/>
  </cols>
  <sheetData>
    <row r="9" spans="1:34">
      <c r="B9" s="26" t="s">
        <v>17</v>
      </c>
      <c r="C9" s="27" t="s">
        <v>18</v>
      </c>
      <c r="D9" s="27">
        <v>0</v>
      </c>
      <c r="E9" s="27">
        <v>0</v>
      </c>
      <c r="F9" s="27">
        <f>+E9+1</f>
        <v>1</v>
      </c>
      <c r="G9" s="27">
        <f t="shared" ref="G9:AF9" si="0">+F9+1</f>
        <v>2</v>
      </c>
      <c r="H9" s="27">
        <f t="shared" si="0"/>
        <v>3</v>
      </c>
      <c r="I9" s="27">
        <f t="shared" si="0"/>
        <v>4</v>
      </c>
      <c r="J9" s="27">
        <f t="shared" si="0"/>
        <v>5</v>
      </c>
      <c r="K9" s="27">
        <f t="shared" si="0"/>
        <v>6</v>
      </c>
      <c r="L9" s="27">
        <f t="shared" si="0"/>
        <v>7</v>
      </c>
      <c r="M9" s="27">
        <f t="shared" si="0"/>
        <v>8</v>
      </c>
      <c r="N9" s="27">
        <f t="shared" si="0"/>
        <v>9</v>
      </c>
      <c r="O9" s="27">
        <f t="shared" si="0"/>
        <v>10</v>
      </c>
      <c r="P9" s="27">
        <f>+O9+1</f>
        <v>11</v>
      </c>
      <c r="Q9" s="27">
        <f t="shared" si="0"/>
        <v>12</v>
      </c>
      <c r="R9" s="27">
        <f t="shared" si="0"/>
        <v>13</v>
      </c>
      <c r="S9" s="27">
        <f t="shared" si="0"/>
        <v>14</v>
      </c>
      <c r="T9" s="27">
        <f t="shared" si="0"/>
        <v>15</v>
      </c>
      <c r="U9" s="27">
        <f t="shared" si="0"/>
        <v>16</v>
      </c>
      <c r="V9" s="27">
        <f t="shared" si="0"/>
        <v>17</v>
      </c>
      <c r="W9" s="27">
        <f t="shared" si="0"/>
        <v>18</v>
      </c>
      <c r="X9" s="27">
        <f t="shared" si="0"/>
        <v>19</v>
      </c>
      <c r="Y9" s="27">
        <f t="shared" si="0"/>
        <v>20</v>
      </c>
      <c r="Z9" s="27">
        <f t="shared" si="0"/>
        <v>21</v>
      </c>
      <c r="AA9" s="27">
        <f t="shared" si="0"/>
        <v>22</v>
      </c>
      <c r="AB9" s="27">
        <f t="shared" si="0"/>
        <v>23</v>
      </c>
      <c r="AC9" s="27">
        <f t="shared" si="0"/>
        <v>24</v>
      </c>
      <c r="AD9" s="27">
        <f t="shared" si="0"/>
        <v>25</v>
      </c>
      <c r="AE9" s="27">
        <f t="shared" si="0"/>
        <v>26</v>
      </c>
      <c r="AF9" s="27">
        <f t="shared" si="0"/>
        <v>27</v>
      </c>
      <c r="AG9" s="27">
        <f>+AF9+1</f>
        <v>28</v>
      </c>
      <c r="AH9" s="27">
        <f>+AG9+1</f>
        <v>29</v>
      </c>
    </row>
    <row r="10" spans="1:34">
      <c r="A10" s="26">
        <v>10</v>
      </c>
      <c r="B10" s="26">
        <v>1</v>
      </c>
      <c r="C10" s="27" t="s">
        <v>39</v>
      </c>
      <c r="D10" s="27" t="str">
        <f t="shared" ref="D10:M19" si="1">+"rokwzgl="&amp;D$9&amp;" i lp="&amp;$A10</f>
        <v>rokwzgl=0 i lp=10</v>
      </c>
      <c r="E10" s="27" t="str">
        <f t="shared" si="1"/>
        <v>rokwzgl=0 i lp=10</v>
      </c>
      <c r="F10" s="27" t="str">
        <f t="shared" si="1"/>
        <v>rokwzgl=1 i lp=10</v>
      </c>
      <c r="G10" s="27" t="str">
        <f t="shared" si="1"/>
        <v>rokwzgl=2 i lp=10</v>
      </c>
      <c r="H10" s="27" t="str">
        <f t="shared" si="1"/>
        <v>rokwzgl=3 i lp=10</v>
      </c>
      <c r="I10" s="27" t="str">
        <f t="shared" si="1"/>
        <v>rokwzgl=4 i lp=10</v>
      </c>
      <c r="J10" s="27" t="str">
        <f t="shared" si="1"/>
        <v>rokwzgl=5 i lp=10</v>
      </c>
      <c r="K10" s="27" t="str">
        <f t="shared" si="1"/>
        <v>rokwzgl=6 i lp=10</v>
      </c>
      <c r="L10" s="27" t="str">
        <f t="shared" si="1"/>
        <v>rokwzgl=7 i lp=10</v>
      </c>
      <c r="M10" s="27" t="str">
        <f t="shared" si="1"/>
        <v>rokwzgl=8 i lp=10</v>
      </c>
      <c r="N10" s="27" t="str">
        <f t="shared" ref="N10:W19" si="2">+"rokwzgl="&amp;N$9&amp;" i lp="&amp;$A10</f>
        <v>rokwzgl=9 i lp=10</v>
      </c>
      <c r="O10" s="27" t="str">
        <f t="shared" si="2"/>
        <v>rokwzgl=10 i lp=10</v>
      </c>
      <c r="P10" s="27" t="str">
        <f t="shared" si="2"/>
        <v>rokwzgl=11 i lp=10</v>
      </c>
      <c r="Q10" s="27" t="str">
        <f t="shared" si="2"/>
        <v>rokwzgl=12 i lp=10</v>
      </c>
      <c r="R10" s="27" t="str">
        <f t="shared" si="2"/>
        <v>rokwzgl=13 i lp=10</v>
      </c>
      <c r="S10" s="27" t="str">
        <f t="shared" si="2"/>
        <v>rokwzgl=14 i lp=10</v>
      </c>
      <c r="T10" s="27" t="str">
        <f t="shared" si="2"/>
        <v>rokwzgl=15 i lp=10</v>
      </c>
      <c r="U10" s="27" t="str">
        <f t="shared" si="2"/>
        <v>rokwzgl=16 i lp=10</v>
      </c>
      <c r="V10" s="27" t="str">
        <f t="shared" si="2"/>
        <v>rokwzgl=17 i lp=10</v>
      </c>
      <c r="W10" s="27" t="str">
        <f t="shared" si="2"/>
        <v>rokwzgl=18 i lp=10</v>
      </c>
      <c r="X10" s="27" t="str">
        <f t="shared" ref="X10:AH19" si="3">+"rokwzgl="&amp;X$9&amp;" i lp="&amp;$A10</f>
        <v>rokwzgl=19 i lp=10</v>
      </c>
      <c r="Y10" s="27" t="str">
        <f t="shared" si="3"/>
        <v>rokwzgl=20 i lp=10</v>
      </c>
      <c r="Z10" s="27" t="str">
        <f t="shared" si="3"/>
        <v>rokwzgl=21 i lp=10</v>
      </c>
      <c r="AA10" s="27" t="str">
        <f t="shared" si="3"/>
        <v>rokwzgl=22 i lp=10</v>
      </c>
      <c r="AB10" s="27" t="str">
        <f t="shared" si="3"/>
        <v>rokwzgl=23 i lp=10</v>
      </c>
      <c r="AC10" s="27" t="str">
        <f t="shared" si="3"/>
        <v>rokwzgl=24 i lp=10</v>
      </c>
      <c r="AD10" s="27" t="str">
        <f t="shared" si="3"/>
        <v>rokwzgl=25 i lp=10</v>
      </c>
      <c r="AE10" s="27" t="str">
        <f t="shared" si="3"/>
        <v>rokwzgl=26 i lp=10</v>
      </c>
      <c r="AF10" s="27" t="str">
        <f t="shared" si="3"/>
        <v>rokwzgl=27 i lp=10</v>
      </c>
      <c r="AG10" s="27" t="str">
        <f t="shared" si="3"/>
        <v>rokwzgl=28 i lp=10</v>
      </c>
      <c r="AH10" s="27" t="str">
        <f t="shared" si="3"/>
        <v>rokwzgl=29 i lp=10</v>
      </c>
    </row>
    <row r="11" spans="1:34">
      <c r="A11" s="26">
        <v>20</v>
      </c>
      <c r="B11" s="26">
        <v>1.1000000000000001</v>
      </c>
      <c r="C11" s="27" t="s">
        <v>53</v>
      </c>
      <c r="D11" s="27" t="str">
        <f t="shared" si="1"/>
        <v>rokwzgl=0 i lp=20</v>
      </c>
      <c r="E11" s="27" t="str">
        <f t="shared" si="1"/>
        <v>rokwzgl=0 i lp=20</v>
      </c>
      <c r="F11" s="27" t="str">
        <f t="shared" si="1"/>
        <v>rokwzgl=1 i lp=20</v>
      </c>
      <c r="G11" s="27" t="str">
        <f t="shared" si="1"/>
        <v>rokwzgl=2 i lp=20</v>
      </c>
      <c r="H11" s="27" t="str">
        <f t="shared" si="1"/>
        <v>rokwzgl=3 i lp=20</v>
      </c>
      <c r="I11" s="27" t="str">
        <f t="shared" si="1"/>
        <v>rokwzgl=4 i lp=20</v>
      </c>
      <c r="J11" s="27" t="str">
        <f t="shared" si="1"/>
        <v>rokwzgl=5 i lp=20</v>
      </c>
      <c r="K11" s="27" t="str">
        <f t="shared" si="1"/>
        <v>rokwzgl=6 i lp=20</v>
      </c>
      <c r="L11" s="27" t="str">
        <f t="shared" si="1"/>
        <v>rokwzgl=7 i lp=20</v>
      </c>
      <c r="M11" s="27" t="str">
        <f t="shared" si="1"/>
        <v>rokwzgl=8 i lp=20</v>
      </c>
      <c r="N11" s="27" t="str">
        <f t="shared" si="2"/>
        <v>rokwzgl=9 i lp=20</v>
      </c>
      <c r="O11" s="27" t="str">
        <f t="shared" si="2"/>
        <v>rokwzgl=10 i lp=20</v>
      </c>
      <c r="P11" s="27" t="str">
        <f t="shared" si="2"/>
        <v>rokwzgl=11 i lp=20</v>
      </c>
      <c r="Q11" s="27" t="str">
        <f t="shared" si="2"/>
        <v>rokwzgl=12 i lp=20</v>
      </c>
      <c r="R11" s="27" t="str">
        <f t="shared" si="2"/>
        <v>rokwzgl=13 i lp=20</v>
      </c>
      <c r="S11" s="27" t="str">
        <f t="shared" si="2"/>
        <v>rokwzgl=14 i lp=20</v>
      </c>
      <c r="T11" s="27" t="str">
        <f t="shared" si="2"/>
        <v>rokwzgl=15 i lp=20</v>
      </c>
      <c r="U11" s="27" t="str">
        <f t="shared" si="2"/>
        <v>rokwzgl=16 i lp=20</v>
      </c>
      <c r="V11" s="27" t="str">
        <f t="shared" si="2"/>
        <v>rokwzgl=17 i lp=20</v>
      </c>
      <c r="W11" s="27" t="str">
        <f t="shared" si="2"/>
        <v>rokwzgl=18 i lp=20</v>
      </c>
      <c r="X11" s="27" t="str">
        <f t="shared" si="3"/>
        <v>rokwzgl=19 i lp=20</v>
      </c>
      <c r="Y11" s="27" t="str">
        <f t="shared" si="3"/>
        <v>rokwzgl=20 i lp=20</v>
      </c>
      <c r="Z11" s="27" t="str">
        <f t="shared" si="3"/>
        <v>rokwzgl=21 i lp=20</v>
      </c>
      <c r="AA11" s="27" t="str">
        <f t="shared" si="3"/>
        <v>rokwzgl=22 i lp=20</v>
      </c>
      <c r="AB11" s="27" t="str">
        <f t="shared" si="3"/>
        <v>rokwzgl=23 i lp=20</v>
      </c>
      <c r="AC11" s="27" t="str">
        <f t="shared" si="3"/>
        <v>rokwzgl=24 i lp=20</v>
      </c>
      <c r="AD11" s="27" t="str">
        <f t="shared" si="3"/>
        <v>rokwzgl=25 i lp=20</v>
      </c>
      <c r="AE11" s="27" t="str">
        <f t="shared" si="3"/>
        <v>rokwzgl=26 i lp=20</v>
      </c>
      <c r="AF11" s="27" t="str">
        <f t="shared" si="3"/>
        <v>rokwzgl=27 i lp=20</v>
      </c>
      <c r="AG11" s="27" t="str">
        <f t="shared" si="3"/>
        <v>rokwzgl=28 i lp=20</v>
      </c>
      <c r="AH11" s="27" t="str">
        <f t="shared" si="3"/>
        <v>rokwzgl=29 i lp=20</v>
      </c>
    </row>
    <row r="12" spans="1:34">
      <c r="A12" s="26">
        <v>30</v>
      </c>
      <c r="B12" s="26" t="s">
        <v>54</v>
      </c>
      <c r="C12" s="27" t="s">
        <v>55</v>
      </c>
      <c r="D12" s="27" t="str">
        <f t="shared" si="1"/>
        <v>rokwzgl=0 i lp=30</v>
      </c>
      <c r="E12" s="27" t="str">
        <f t="shared" si="1"/>
        <v>rokwzgl=0 i lp=30</v>
      </c>
      <c r="F12" s="27" t="str">
        <f t="shared" si="1"/>
        <v>rokwzgl=1 i lp=30</v>
      </c>
      <c r="G12" s="27" t="str">
        <f t="shared" si="1"/>
        <v>rokwzgl=2 i lp=30</v>
      </c>
      <c r="H12" s="27" t="str">
        <f t="shared" si="1"/>
        <v>rokwzgl=3 i lp=30</v>
      </c>
      <c r="I12" s="27" t="str">
        <f t="shared" si="1"/>
        <v>rokwzgl=4 i lp=30</v>
      </c>
      <c r="J12" s="27" t="str">
        <f t="shared" si="1"/>
        <v>rokwzgl=5 i lp=30</v>
      </c>
      <c r="K12" s="27" t="str">
        <f t="shared" si="1"/>
        <v>rokwzgl=6 i lp=30</v>
      </c>
      <c r="L12" s="27" t="str">
        <f t="shared" si="1"/>
        <v>rokwzgl=7 i lp=30</v>
      </c>
      <c r="M12" s="27" t="str">
        <f t="shared" si="1"/>
        <v>rokwzgl=8 i lp=30</v>
      </c>
      <c r="N12" s="27" t="str">
        <f t="shared" si="2"/>
        <v>rokwzgl=9 i lp=30</v>
      </c>
      <c r="O12" s="27" t="str">
        <f t="shared" si="2"/>
        <v>rokwzgl=10 i lp=30</v>
      </c>
      <c r="P12" s="27" t="str">
        <f t="shared" si="2"/>
        <v>rokwzgl=11 i lp=30</v>
      </c>
      <c r="Q12" s="27" t="str">
        <f t="shared" si="2"/>
        <v>rokwzgl=12 i lp=30</v>
      </c>
      <c r="R12" s="27" t="str">
        <f t="shared" si="2"/>
        <v>rokwzgl=13 i lp=30</v>
      </c>
      <c r="S12" s="27" t="str">
        <f t="shared" si="2"/>
        <v>rokwzgl=14 i lp=30</v>
      </c>
      <c r="T12" s="27" t="str">
        <f t="shared" si="2"/>
        <v>rokwzgl=15 i lp=30</v>
      </c>
      <c r="U12" s="27" t="str">
        <f t="shared" si="2"/>
        <v>rokwzgl=16 i lp=30</v>
      </c>
      <c r="V12" s="27" t="str">
        <f t="shared" si="2"/>
        <v>rokwzgl=17 i lp=30</v>
      </c>
      <c r="W12" s="27" t="str">
        <f t="shared" si="2"/>
        <v>rokwzgl=18 i lp=30</v>
      </c>
      <c r="X12" s="27" t="str">
        <f t="shared" si="3"/>
        <v>rokwzgl=19 i lp=30</v>
      </c>
      <c r="Y12" s="27" t="str">
        <f t="shared" si="3"/>
        <v>rokwzgl=20 i lp=30</v>
      </c>
      <c r="Z12" s="27" t="str">
        <f t="shared" si="3"/>
        <v>rokwzgl=21 i lp=30</v>
      </c>
      <c r="AA12" s="27" t="str">
        <f t="shared" si="3"/>
        <v>rokwzgl=22 i lp=30</v>
      </c>
      <c r="AB12" s="27" t="str">
        <f t="shared" si="3"/>
        <v>rokwzgl=23 i lp=30</v>
      </c>
      <c r="AC12" s="27" t="str">
        <f t="shared" si="3"/>
        <v>rokwzgl=24 i lp=30</v>
      </c>
      <c r="AD12" s="27" t="str">
        <f t="shared" si="3"/>
        <v>rokwzgl=25 i lp=30</v>
      </c>
      <c r="AE12" s="27" t="str">
        <f t="shared" si="3"/>
        <v>rokwzgl=26 i lp=30</v>
      </c>
      <c r="AF12" s="27" t="str">
        <f t="shared" si="3"/>
        <v>rokwzgl=27 i lp=30</v>
      </c>
      <c r="AG12" s="27" t="str">
        <f t="shared" si="3"/>
        <v>rokwzgl=28 i lp=30</v>
      </c>
      <c r="AH12" s="27" t="str">
        <f t="shared" si="3"/>
        <v>rokwzgl=29 i lp=30</v>
      </c>
    </row>
    <row r="13" spans="1:34">
      <c r="A13" s="26">
        <v>40</v>
      </c>
      <c r="B13" s="26" t="s">
        <v>56</v>
      </c>
      <c r="C13" s="27" t="s">
        <v>57</v>
      </c>
      <c r="D13" s="27" t="str">
        <f t="shared" si="1"/>
        <v>rokwzgl=0 i lp=40</v>
      </c>
      <c r="E13" s="27" t="str">
        <f t="shared" si="1"/>
        <v>rokwzgl=0 i lp=40</v>
      </c>
      <c r="F13" s="27" t="str">
        <f t="shared" si="1"/>
        <v>rokwzgl=1 i lp=40</v>
      </c>
      <c r="G13" s="27" t="str">
        <f t="shared" si="1"/>
        <v>rokwzgl=2 i lp=40</v>
      </c>
      <c r="H13" s="27" t="str">
        <f t="shared" si="1"/>
        <v>rokwzgl=3 i lp=40</v>
      </c>
      <c r="I13" s="27" t="str">
        <f t="shared" si="1"/>
        <v>rokwzgl=4 i lp=40</v>
      </c>
      <c r="J13" s="27" t="str">
        <f t="shared" si="1"/>
        <v>rokwzgl=5 i lp=40</v>
      </c>
      <c r="K13" s="27" t="str">
        <f t="shared" si="1"/>
        <v>rokwzgl=6 i lp=40</v>
      </c>
      <c r="L13" s="27" t="str">
        <f t="shared" si="1"/>
        <v>rokwzgl=7 i lp=40</v>
      </c>
      <c r="M13" s="27" t="str">
        <f t="shared" si="1"/>
        <v>rokwzgl=8 i lp=40</v>
      </c>
      <c r="N13" s="27" t="str">
        <f t="shared" si="2"/>
        <v>rokwzgl=9 i lp=40</v>
      </c>
      <c r="O13" s="27" t="str">
        <f t="shared" si="2"/>
        <v>rokwzgl=10 i lp=40</v>
      </c>
      <c r="P13" s="27" t="str">
        <f t="shared" si="2"/>
        <v>rokwzgl=11 i lp=40</v>
      </c>
      <c r="Q13" s="27" t="str">
        <f t="shared" si="2"/>
        <v>rokwzgl=12 i lp=40</v>
      </c>
      <c r="R13" s="27" t="str">
        <f t="shared" si="2"/>
        <v>rokwzgl=13 i lp=40</v>
      </c>
      <c r="S13" s="27" t="str">
        <f t="shared" si="2"/>
        <v>rokwzgl=14 i lp=40</v>
      </c>
      <c r="T13" s="27" t="str">
        <f t="shared" si="2"/>
        <v>rokwzgl=15 i lp=40</v>
      </c>
      <c r="U13" s="27" t="str">
        <f t="shared" si="2"/>
        <v>rokwzgl=16 i lp=40</v>
      </c>
      <c r="V13" s="27" t="str">
        <f t="shared" si="2"/>
        <v>rokwzgl=17 i lp=40</v>
      </c>
      <c r="W13" s="27" t="str">
        <f t="shared" si="2"/>
        <v>rokwzgl=18 i lp=40</v>
      </c>
      <c r="X13" s="27" t="str">
        <f t="shared" si="3"/>
        <v>rokwzgl=19 i lp=40</v>
      </c>
      <c r="Y13" s="27" t="str">
        <f t="shared" si="3"/>
        <v>rokwzgl=20 i lp=40</v>
      </c>
      <c r="Z13" s="27" t="str">
        <f t="shared" si="3"/>
        <v>rokwzgl=21 i lp=40</v>
      </c>
      <c r="AA13" s="27" t="str">
        <f t="shared" si="3"/>
        <v>rokwzgl=22 i lp=40</v>
      </c>
      <c r="AB13" s="27" t="str">
        <f t="shared" si="3"/>
        <v>rokwzgl=23 i lp=40</v>
      </c>
      <c r="AC13" s="27" t="str">
        <f t="shared" si="3"/>
        <v>rokwzgl=24 i lp=40</v>
      </c>
      <c r="AD13" s="27" t="str">
        <f t="shared" si="3"/>
        <v>rokwzgl=25 i lp=40</v>
      </c>
      <c r="AE13" s="27" t="str">
        <f t="shared" si="3"/>
        <v>rokwzgl=26 i lp=40</v>
      </c>
      <c r="AF13" s="27" t="str">
        <f t="shared" si="3"/>
        <v>rokwzgl=27 i lp=40</v>
      </c>
      <c r="AG13" s="27" t="str">
        <f t="shared" si="3"/>
        <v>rokwzgl=28 i lp=40</v>
      </c>
      <c r="AH13" s="27" t="str">
        <f t="shared" si="3"/>
        <v>rokwzgl=29 i lp=40</v>
      </c>
    </row>
    <row r="14" spans="1:34">
      <c r="A14" s="26">
        <v>50</v>
      </c>
      <c r="B14" s="26" t="s">
        <v>58</v>
      </c>
      <c r="C14" s="27" t="s">
        <v>59</v>
      </c>
      <c r="D14" s="27" t="str">
        <f t="shared" si="1"/>
        <v>rokwzgl=0 i lp=50</v>
      </c>
      <c r="E14" s="27" t="str">
        <f t="shared" si="1"/>
        <v>rokwzgl=0 i lp=50</v>
      </c>
      <c r="F14" s="27" t="str">
        <f t="shared" si="1"/>
        <v>rokwzgl=1 i lp=50</v>
      </c>
      <c r="G14" s="27" t="str">
        <f t="shared" si="1"/>
        <v>rokwzgl=2 i lp=50</v>
      </c>
      <c r="H14" s="27" t="str">
        <f t="shared" si="1"/>
        <v>rokwzgl=3 i lp=50</v>
      </c>
      <c r="I14" s="27" t="str">
        <f t="shared" si="1"/>
        <v>rokwzgl=4 i lp=50</v>
      </c>
      <c r="J14" s="27" t="str">
        <f t="shared" si="1"/>
        <v>rokwzgl=5 i lp=50</v>
      </c>
      <c r="K14" s="27" t="str">
        <f t="shared" si="1"/>
        <v>rokwzgl=6 i lp=50</v>
      </c>
      <c r="L14" s="27" t="str">
        <f t="shared" si="1"/>
        <v>rokwzgl=7 i lp=50</v>
      </c>
      <c r="M14" s="27" t="str">
        <f t="shared" si="1"/>
        <v>rokwzgl=8 i lp=50</v>
      </c>
      <c r="N14" s="27" t="str">
        <f t="shared" si="2"/>
        <v>rokwzgl=9 i lp=50</v>
      </c>
      <c r="O14" s="27" t="str">
        <f t="shared" si="2"/>
        <v>rokwzgl=10 i lp=50</v>
      </c>
      <c r="P14" s="27" t="str">
        <f t="shared" si="2"/>
        <v>rokwzgl=11 i lp=50</v>
      </c>
      <c r="Q14" s="27" t="str">
        <f t="shared" si="2"/>
        <v>rokwzgl=12 i lp=50</v>
      </c>
      <c r="R14" s="27" t="str">
        <f t="shared" si="2"/>
        <v>rokwzgl=13 i lp=50</v>
      </c>
      <c r="S14" s="27" t="str">
        <f t="shared" si="2"/>
        <v>rokwzgl=14 i lp=50</v>
      </c>
      <c r="T14" s="27" t="str">
        <f t="shared" si="2"/>
        <v>rokwzgl=15 i lp=50</v>
      </c>
      <c r="U14" s="27" t="str">
        <f t="shared" si="2"/>
        <v>rokwzgl=16 i lp=50</v>
      </c>
      <c r="V14" s="27" t="str">
        <f t="shared" si="2"/>
        <v>rokwzgl=17 i lp=50</v>
      </c>
      <c r="W14" s="27" t="str">
        <f t="shared" si="2"/>
        <v>rokwzgl=18 i lp=50</v>
      </c>
      <c r="X14" s="27" t="str">
        <f t="shared" si="3"/>
        <v>rokwzgl=19 i lp=50</v>
      </c>
      <c r="Y14" s="27" t="str">
        <f t="shared" si="3"/>
        <v>rokwzgl=20 i lp=50</v>
      </c>
      <c r="Z14" s="27" t="str">
        <f t="shared" si="3"/>
        <v>rokwzgl=21 i lp=50</v>
      </c>
      <c r="AA14" s="27" t="str">
        <f t="shared" si="3"/>
        <v>rokwzgl=22 i lp=50</v>
      </c>
      <c r="AB14" s="27" t="str">
        <f t="shared" si="3"/>
        <v>rokwzgl=23 i lp=50</v>
      </c>
      <c r="AC14" s="27" t="str">
        <f t="shared" si="3"/>
        <v>rokwzgl=24 i lp=50</v>
      </c>
      <c r="AD14" s="27" t="str">
        <f t="shared" si="3"/>
        <v>rokwzgl=25 i lp=50</v>
      </c>
      <c r="AE14" s="27" t="str">
        <f t="shared" si="3"/>
        <v>rokwzgl=26 i lp=50</v>
      </c>
      <c r="AF14" s="27" t="str">
        <f t="shared" si="3"/>
        <v>rokwzgl=27 i lp=50</v>
      </c>
      <c r="AG14" s="27" t="str">
        <f t="shared" si="3"/>
        <v>rokwzgl=28 i lp=50</v>
      </c>
      <c r="AH14" s="27" t="str">
        <f t="shared" si="3"/>
        <v>rokwzgl=29 i lp=50</v>
      </c>
    </row>
    <row r="15" spans="1:34">
      <c r="A15" s="26">
        <v>60</v>
      </c>
      <c r="B15" s="26" t="s">
        <v>60</v>
      </c>
      <c r="C15" s="27" t="s">
        <v>61</v>
      </c>
      <c r="D15" s="27" t="str">
        <f t="shared" si="1"/>
        <v>rokwzgl=0 i lp=60</v>
      </c>
      <c r="E15" s="27" t="str">
        <f t="shared" si="1"/>
        <v>rokwzgl=0 i lp=60</v>
      </c>
      <c r="F15" s="27" t="str">
        <f t="shared" si="1"/>
        <v>rokwzgl=1 i lp=60</v>
      </c>
      <c r="G15" s="27" t="str">
        <f t="shared" si="1"/>
        <v>rokwzgl=2 i lp=60</v>
      </c>
      <c r="H15" s="27" t="str">
        <f t="shared" si="1"/>
        <v>rokwzgl=3 i lp=60</v>
      </c>
      <c r="I15" s="27" t="str">
        <f t="shared" si="1"/>
        <v>rokwzgl=4 i lp=60</v>
      </c>
      <c r="J15" s="27" t="str">
        <f t="shared" si="1"/>
        <v>rokwzgl=5 i lp=60</v>
      </c>
      <c r="K15" s="27" t="str">
        <f t="shared" si="1"/>
        <v>rokwzgl=6 i lp=60</v>
      </c>
      <c r="L15" s="27" t="str">
        <f t="shared" si="1"/>
        <v>rokwzgl=7 i lp=60</v>
      </c>
      <c r="M15" s="27" t="str">
        <f t="shared" si="1"/>
        <v>rokwzgl=8 i lp=60</v>
      </c>
      <c r="N15" s="27" t="str">
        <f t="shared" si="2"/>
        <v>rokwzgl=9 i lp=60</v>
      </c>
      <c r="O15" s="27" t="str">
        <f t="shared" si="2"/>
        <v>rokwzgl=10 i lp=60</v>
      </c>
      <c r="P15" s="27" t="str">
        <f t="shared" si="2"/>
        <v>rokwzgl=11 i lp=60</v>
      </c>
      <c r="Q15" s="27" t="str">
        <f t="shared" si="2"/>
        <v>rokwzgl=12 i lp=60</v>
      </c>
      <c r="R15" s="27" t="str">
        <f t="shared" si="2"/>
        <v>rokwzgl=13 i lp=60</v>
      </c>
      <c r="S15" s="27" t="str">
        <f t="shared" si="2"/>
        <v>rokwzgl=14 i lp=60</v>
      </c>
      <c r="T15" s="27" t="str">
        <f t="shared" si="2"/>
        <v>rokwzgl=15 i lp=60</v>
      </c>
      <c r="U15" s="27" t="str">
        <f t="shared" si="2"/>
        <v>rokwzgl=16 i lp=60</v>
      </c>
      <c r="V15" s="27" t="str">
        <f t="shared" si="2"/>
        <v>rokwzgl=17 i lp=60</v>
      </c>
      <c r="W15" s="27" t="str">
        <f t="shared" si="2"/>
        <v>rokwzgl=18 i lp=60</v>
      </c>
      <c r="X15" s="27" t="str">
        <f t="shared" si="3"/>
        <v>rokwzgl=19 i lp=60</v>
      </c>
      <c r="Y15" s="27" t="str">
        <f t="shared" si="3"/>
        <v>rokwzgl=20 i lp=60</v>
      </c>
      <c r="Z15" s="27" t="str">
        <f t="shared" si="3"/>
        <v>rokwzgl=21 i lp=60</v>
      </c>
      <c r="AA15" s="27" t="str">
        <f t="shared" si="3"/>
        <v>rokwzgl=22 i lp=60</v>
      </c>
      <c r="AB15" s="27" t="str">
        <f t="shared" si="3"/>
        <v>rokwzgl=23 i lp=60</v>
      </c>
      <c r="AC15" s="27" t="str">
        <f t="shared" si="3"/>
        <v>rokwzgl=24 i lp=60</v>
      </c>
      <c r="AD15" s="27" t="str">
        <f t="shared" si="3"/>
        <v>rokwzgl=25 i lp=60</v>
      </c>
      <c r="AE15" s="27" t="str">
        <f t="shared" si="3"/>
        <v>rokwzgl=26 i lp=60</v>
      </c>
      <c r="AF15" s="27" t="str">
        <f t="shared" si="3"/>
        <v>rokwzgl=27 i lp=60</v>
      </c>
      <c r="AG15" s="27" t="str">
        <f t="shared" si="3"/>
        <v>rokwzgl=28 i lp=60</v>
      </c>
      <c r="AH15" s="27" t="str">
        <f t="shared" si="3"/>
        <v>rokwzgl=29 i lp=60</v>
      </c>
    </row>
    <row r="16" spans="1:34">
      <c r="A16" s="26">
        <v>70</v>
      </c>
      <c r="B16" s="26" t="s">
        <v>62</v>
      </c>
      <c r="C16" s="27" t="s">
        <v>63</v>
      </c>
      <c r="D16" s="27" t="str">
        <f t="shared" si="1"/>
        <v>rokwzgl=0 i lp=70</v>
      </c>
      <c r="E16" s="27" t="str">
        <f t="shared" si="1"/>
        <v>rokwzgl=0 i lp=70</v>
      </c>
      <c r="F16" s="27" t="str">
        <f t="shared" si="1"/>
        <v>rokwzgl=1 i lp=70</v>
      </c>
      <c r="G16" s="27" t="str">
        <f t="shared" si="1"/>
        <v>rokwzgl=2 i lp=70</v>
      </c>
      <c r="H16" s="27" t="str">
        <f t="shared" si="1"/>
        <v>rokwzgl=3 i lp=70</v>
      </c>
      <c r="I16" s="27" t="str">
        <f t="shared" si="1"/>
        <v>rokwzgl=4 i lp=70</v>
      </c>
      <c r="J16" s="27" t="str">
        <f t="shared" si="1"/>
        <v>rokwzgl=5 i lp=70</v>
      </c>
      <c r="K16" s="27" t="str">
        <f t="shared" si="1"/>
        <v>rokwzgl=6 i lp=70</v>
      </c>
      <c r="L16" s="27" t="str">
        <f t="shared" si="1"/>
        <v>rokwzgl=7 i lp=70</v>
      </c>
      <c r="M16" s="27" t="str">
        <f t="shared" si="1"/>
        <v>rokwzgl=8 i lp=70</v>
      </c>
      <c r="N16" s="27" t="str">
        <f t="shared" si="2"/>
        <v>rokwzgl=9 i lp=70</v>
      </c>
      <c r="O16" s="27" t="str">
        <f t="shared" si="2"/>
        <v>rokwzgl=10 i lp=70</v>
      </c>
      <c r="P16" s="27" t="str">
        <f t="shared" si="2"/>
        <v>rokwzgl=11 i lp=70</v>
      </c>
      <c r="Q16" s="27" t="str">
        <f t="shared" si="2"/>
        <v>rokwzgl=12 i lp=70</v>
      </c>
      <c r="R16" s="27" t="str">
        <f t="shared" si="2"/>
        <v>rokwzgl=13 i lp=70</v>
      </c>
      <c r="S16" s="27" t="str">
        <f t="shared" si="2"/>
        <v>rokwzgl=14 i lp=70</v>
      </c>
      <c r="T16" s="27" t="str">
        <f t="shared" si="2"/>
        <v>rokwzgl=15 i lp=70</v>
      </c>
      <c r="U16" s="27" t="str">
        <f t="shared" si="2"/>
        <v>rokwzgl=16 i lp=70</v>
      </c>
      <c r="V16" s="27" t="str">
        <f t="shared" si="2"/>
        <v>rokwzgl=17 i lp=70</v>
      </c>
      <c r="W16" s="27" t="str">
        <f t="shared" si="2"/>
        <v>rokwzgl=18 i lp=70</v>
      </c>
      <c r="X16" s="27" t="str">
        <f t="shared" si="3"/>
        <v>rokwzgl=19 i lp=70</v>
      </c>
      <c r="Y16" s="27" t="str">
        <f t="shared" si="3"/>
        <v>rokwzgl=20 i lp=70</v>
      </c>
      <c r="Z16" s="27" t="str">
        <f t="shared" si="3"/>
        <v>rokwzgl=21 i lp=70</v>
      </c>
      <c r="AA16" s="27" t="str">
        <f t="shared" si="3"/>
        <v>rokwzgl=22 i lp=70</v>
      </c>
      <c r="AB16" s="27" t="str">
        <f t="shared" si="3"/>
        <v>rokwzgl=23 i lp=70</v>
      </c>
      <c r="AC16" s="27" t="str">
        <f t="shared" si="3"/>
        <v>rokwzgl=24 i lp=70</v>
      </c>
      <c r="AD16" s="27" t="str">
        <f t="shared" si="3"/>
        <v>rokwzgl=25 i lp=70</v>
      </c>
      <c r="AE16" s="27" t="str">
        <f t="shared" si="3"/>
        <v>rokwzgl=26 i lp=70</v>
      </c>
      <c r="AF16" s="27" t="str">
        <f t="shared" si="3"/>
        <v>rokwzgl=27 i lp=70</v>
      </c>
      <c r="AG16" s="27" t="str">
        <f t="shared" si="3"/>
        <v>rokwzgl=28 i lp=70</v>
      </c>
      <c r="AH16" s="27" t="str">
        <f t="shared" si="3"/>
        <v>rokwzgl=29 i lp=70</v>
      </c>
    </row>
    <row r="17" spans="1:34">
      <c r="A17" s="26">
        <v>80</v>
      </c>
      <c r="B17" s="26" t="s">
        <v>64</v>
      </c>
      <c r="C17" s="27" t="s">
        <v>65</v>
      </c>
      <c r="D17" s="27" t="str">
        <f t="shared" si="1"/>
        <v>rokwzgl=0 i lp=80</v>
      </c>
      <c r="E17" s="27" t="str">
        <f t="shared" si="1"/>
        <v>rokwzgl=0 i lp=80</v>
      </c>
      <c r="F17" s="27" t="str">
        <f t="shared" si="1"/>
        <v>rokwzgl=1 i lp=80</v>
      </c>
      <c r="G17" s="27" t="str">
        <f t="shared" si="1"/>
        <v>rokwzgl=2 i lp=80</v>
      </c>
      <c r="H17" s="27" t="str">
        <f t="shared" si="1"/>
        <v>rokwzgl=3 i lp=80</v>
      </c>
      <c r="I17" s="27" t="str">
        <f t="shared" si="1"/>
        <v>rokwzgl=4 i lp=80</v>
      </c>
      <c r="J17" s="27" t="str">
        <f t="shared" si="1"/>
        <v>rokwzgl=5 i lp=80</v>
      </c>
      <c r="K17" s="27" t="str">
        <f t="shared" si="1"/>
        <v>rokwzgl=6 i lp=80</v>
      </c>
      <c r="L17" s="27" t="str">
        <f t="shared" si="1"/>
        <v>rokwzgl=7 i lp=80</v>
      </c>
      <c r="M17" s="27" t="str">
        <f t="shared" si="1"/>
        <v>rokwzgl=8 i lp=80</v>
      </c>
      <c r="N17" s="27" t="str">
        <f t="shared" si="2"/>
        <v>rokwzgl=9 i lp=80</v>
      </c>
      <c r="O17" s="27" t="str">
        <f t="shared" si="2"/>
        <v>rokwzgl=10 i lp=80</v>
      </c>
      <c r="P17" s="27" t="str">
        <f t="shared" si="2"/>
        <v>rokwzgl=11 i lp=80</v>
      </c>
      <c r="Q17" s="27" t="str">
        <f t="shared" si="2"/>
        <v>rokwzgl=12 i lp=80</v>
      </c>
      <c r="R17" s="27" t="str">
        <f t="shared" si="2"/>
        <v>rokwzgl=13 i lp=80</v>
      </c>
      <c r="S17" s="27" t="str">
        <f t="shared" si="2"/>
        <v>rokwzgl=14 i lp=80</v>
      </c>
      <c r="T17" s="27" t="str">
        <f t="shared" si="2"/>
        <v>rokwzgl=15 i lp=80</v>
      </c>
      <c r="U17" s="27" t="str">
        <f t="shared" si="2"/>
        <v>rokwzgl=16 i lp=80</v>
      </c>
      <c r="V17" s="27" t="str">
        <f t="shared" si="2"/>
        <v>rokwzgl=17 i lp=80</v>
      </c>
      <c r="W17" s="27" t="str">
        <f t="shared" si="2"/>
        <v>rokwzgl=18 i lp=80</v>
      </c>
      <c r="X17" s="27" t="str">
        <f t="shared" si="3"/>
        <v>rokwzgl=19 i lp=80</v>
      </c>
      <c r="Y17" s="27" t="str">
        <f t="shared" si="3"/>
        <v>rokwzgl=20 i lp=80</v>
      </c>
      <c r="Z17" s="27" t="str">
        <f t="shared" si="3"/>
        <v>rokwzgl=21 i lp=80</v>
      </c>
      <c r="AA17" s="27" t="str">
        <f t="shared" si="3"/>
        <v>rokwzgl=22 i lp=80</v>
      </c>
      <c r="AB17" s="27" t="str">
        <f t="shared" si="3"/>
        <v>rokwzgl=23 i lp=80</v>
      </c>
      <c r="AC17" s="27" t="str">
        <f t="shared" si="3"/>
        <v>rokwzgl=24 i lp=80</v>
      </c>
      <c r="AD17" s="27" t="str">
        <f t="shared" si="3"/>
        <v>rokwzgl=25 i lp=80</v>
      </c>
      <c r="AE17" s="27" t="str">
        <f t="shared" si="3"/>
        <v>rokwzgl=26 i lp=80</v>
      </c>
      <c r="AF17" s="27" t="str">
        <f t="shared" si="3"/>
        <v>rokwzgl=27 i lp=80</v>
      </c>
      <c r="AG17" s="27" t="str">
        <f t="shared" si="3"/>
        <v>rokwzgl=28 i lp=80</v>
      </c>
      <c r="AH17" s="27" t="str">
        <f t="shared" si="3"/>
        <v>rokwzgl=29 i lp=80</v>
      </c>
    </row>
    <row r="18" spans="1:34">
      <c r="A18" s="26">
        <v>90</v>
      </c>
      <c r="B18" s="26">
        <v>1.2</v>
      </c>
      <c r="C18" s="27" t="s">
        <v>66</v>
      </c>
      <c r="D18" s="27" t="str">
        <f t="shared" si="1"/>
        <v>rokwzgl=0 i lp=90</v>
      </c>
      <c r="E18" s="27" t="str">
        <f t="shared" si="1"/>
        <v>rokwzgl=0 i lp=90</v>
      </c>
      <c r="F18" s="27" t="str">
        <f t="shared" si="1"/>
        <v>rokwzgl=1 i lp=90</v>
      </c>
      <c r="G18" s="27" t="str">
        <f t="shared" si="1"/>
        <v>rokwzgl=2 i lp=90</v>
      </c>
      <c r="H18" s="27" t="str">
        <f t="shared" si="1"/>
        <v>rokwzgl=3 i lp=90</v>
      </c>
      <c r="I18" s="27" t="str">
        <f t="shared" si="1"/>
        <v>rokwzgl=4 i lp=90</v>
      </c>
      <c r="J18" s="27" t="str">
        <f t="shared" si="1"/>
        <v>rokwzgl=5 i lp=90</v>
      </c>
      <c r="K18" s="27" t="str">
        <f t="shared" si="1"/>
        <v>rokwzgl=6 i lp=90</v>
      </c>
      <c r="L18" s="27" t="str">
        <f t="shared" si="1"/>
        <v>rokwzgl=7 i lp=90</v>
      </c>
      <c r="M18" s="27" t="str">
        <f t="shared" si="1"/>
        <v>rokwzgl=8 i lp=90</v>
      </c>
      <c r="N18" s="27" t="str">
        <f t="shared" si="2"/>
        <v>rokwzgl=9 i lp=90</v>
      </c>
      <c r="O18" s="27" t="str">
        <f t="shared" si="2"/>
        <v>rokwzgl=10 i lp=90</v>
      </c>
      <c r="P18" s="27" t="str">
        <f t="shared" si="2"/>
        <v>rokwzgl=11 i lp=90</v>
      </c>
      <c r="Q18" s="27" t="str">
        <f t="shared" si="2"/>
        <v>rokwzgl=12 i lp=90</v>
      </c>
      <c r="R18" s="27" t="str">
        <f t="shared" si="2"/>
        <v>rokwzgl=13 i lp=90</v>
      </c>
      <c r="S18" s="27" t="str">
        <f t="shared" si="2"/>
        <v>rokwzgl=14 i lp=90</v>
      </c>
      <c r="T18" s="27" t="str">
        <f t="shared" si="2"/>
        <v>rokwzgl=15 i lp=90</v>
      </c>
      <c r="U18" s="27" t="str">
        <f t="shared" si="2"/>
        <v>rokwzgl=16 i lp=90</v>
      </c>
      <c r="V18" s="27" t="str">
        <f t="shared" si="2"/>
        <v>rokwzgl=17 i lp=90</v>
      </c>
      <c r="W18" s="27" t="str">
        <f t="shared" si="2"/>
        <v>rokwzgl=18 i lp=90</v>
      </c>
      <c r="X18" s="27" t="str">
        <f t="shared" si="3"/>
        <v>rokwzgl=19 i lp=90</v>
      </c>
      <c r="Y18" s="27" t="str">
        <f t="shared" si="3"/>
        <v>rokwzgl=20 i lp=90</v>
      </c>
      <c r="Z18" s="27" t="str">
        <f t="shared" si="3"/>
        <v>rokwzgl=21 i lp=90</v>
      </c>
      <c r="AA18" s="27" t="str">
        <f t="shared" si="3"/>
        <v>rokwzgl=22 i lp=90</v>
      </c>
      <c r="AB18" s="27" t="str">
        <f t="shared" si="3"/>
        <v>rokwzgl=23 i lp=90</v>
      </c>
      <c r="AC18" s="27" t="str">
        <f t="shared" si="3"/>
        <v>rokwzgl=24 i lp=90</v>
      </c>
      <c r="AD18" s="27" t="str">
        <f t="shared" si="3"/>
        <v>rokwzgl=25 i lp=90</v>
      </c>
      <c r="AE18" s="27" t="str">
        <f t="shared" si="3"/>
        <v>rokwzgl=26 i lp=90</v>
      </c>
      <c r="AF18" s="27" t="str">
        <f t="shared" si="3"/>
        <v>rokwzgl=27 i lp=90</v>
      </c>
      <c r="AG18" s="27" t="str">
        <f t="shared" si="3"/>
        <v>rokwzgl=28 i lp=90</v>
      </c>
      <c r="AH18" s="27" t="str">
        <f t="shared" si="3"/>
        <v>rokwzgl=29 i lp=90</v>
      </c>
    </row>
    <row r="19" spans="1:34">
      <c r="A19" s="26">
        <v>100</v>
      </c>
      <c r="B19" s="26" t="s">
        <v>67</v>
      </c>
      <c r="C19" s="27" t="s">
        <v>68</v>
      </c>
      <c r="D19" s="27" t="str">
        <f t="shared" si="1"/>
        <v>rokwzgl=0 i lp=100</v>
      </c>
      <c r="E19" s="27" t="str">
        <f t="shared" si="1"/>
        <v>rokwzgl=0 i lp=100</v>
      </c>
      <c r="F19" s="27" t="str">
        <f t="shared" si="1"/>
        <v>rokwzgl=1 i lp=100</v>
      </c>
      <c r="G19" s="27" t="str">
        <f t="shared" si="1"/>
        <v>rokwzgl=2 i lp=100</v>
      </c>
      <c r="H19" s="27" t="str">
        <f t="shared" si="1"/>
        <v>rokwzgl=3 i lp=100</v>
      </c>
      <c r="I19" s="27" t="str">
        <f t="shared" si="1"/>
        <v>rokwzgl=4 i lp=100</v>
      </c>
      <c r="J19" s="27" t="str">
        <f t="shared" si="1"/>
        <v>rokwzgl=5 i lp=100</v>
      </c>
      <c r="K19" s="27" t="str">
        <f t="shared" si="1"/>
        <v>rokwzgl=6 i lp=100</v>
      </c>
      <c r="L19" s="27" t="str">
        <f t="shared" si="1"/>
        <v>rokwzgl=7 i lp=100</v>
      </c>
      <c r="M19" s="27" t="str">
        <f t="shared" si="1"/>
        <v>rokwzgl=8 i lp=100</v>
      </c>
      <c r="N19" s="27" t="str">
        <f t="shared" si="2"/>
        <v>rokwzgl=9 i lp=100</v>
      </c>
      <c r="O19" s="27" t="str">
        <f t="shared" si="2"/>
        <v>rokwzgl=10 i lp=100</v>
      </c>
      <c r="P19" s="27" t="str">
        <f t="shared" si="2"/>
        <v>rokwzgl=11 i lp=100</v>
      </c>
      <c r="Q19" s="27" t="str">
        <f t="shared" si="2"/>
        <v>rokwzgl=12 i lp=100</v>
      </c>
      <c r="R19" s="27" t="str">
        <f t="shared" si="2"/>
        <v>rokwzgl=13 i lp=100</v>
      </c>
      <c r="S19" s="27" t="str">
        <f t="shared" si="2"/>
        <v>rokwzgl=14 i lp=100</v>
      </c>
      <c r="T19" s="27" t="str">
        <f t="shared" si="2"/>
        <v>rokwzgl=15 i lp=100</v>
      </c>
      <c r="U19" s="27" t="str">
        <f t="shared" si="2"/>
        <v>rokwzgl=16 i lp=100</v>
      </c>
      <c r="V19" s="27" t="str">
        <f t="shared" si="2"/>
        <v>rokwzgl=17 i lp=100</v>
      </c>
      <c r="W19" s="27" t="str">
        <f t="shared" si="2"/>
        <v>rokwzgl=18 i lp=100</v>
      </c>
      <c r="X19" s="27" t="str">
        <f t="shared" si="3"/>
        <v>rokwzgl=19 i lp=100</v>
      </c>
      <c r="Y19" s="27" t="str">
        <f t="shared" si="3"/>
        <v>rokwzgl=20 i lp=100</v>
      </c>
      <c r="Z19" s="27" t="str">
        <f t="shared" si="3"/>
        <v>rokwzgl=21 i lp=100</v>
      </c>
      <c r="AA19" s="27" t="str">
        <f t="shared" si="3"/>
        <v>rokwzgl=22 i lp=100</v>
      </c>
      <c r="AB19" s="27" t="str">
        <f t="shared" si="3"/>
        <v>rokwzgl=23 i lp=100</v>
      </c>
      <c r="AC19" s="27" t="str">
        <f t="shared" si="3"/>
        <v>rokwzgl=24 i lp=100</v>
      </c>
      <c r="AD19" s="27" t="str">
        <f t="shared" si="3"/>
        <v>rokwzgl=25 i lp=100</v>
      </c>
      <c r="AE19" s="27" t="str">
        <f t="shared" si="3"/>
        <v>rokwzgl=26 i lp=100</v>
      </c>
      <c r="AF19" s="27" t="str">
        <f t="shared" si="3"/>
        <v>rokwzgl=27 i lp=100</v>
      </c>
      <c r="AG19" s="27" t="str">
        <f t="shared" si="3"/>
        <v>rokwzgl=28 i lp=100</v>
      </c>
      <c r="AH19" s="27" t="str">
        <f t="shared" si="3"/>
        <v>rokwzgl=29 i lp=100</v>
      </c>
    </row>
    <row r="20" spans="1:34">
      <c r="A20" s="26">
        <v>110</v>
      </c>
      <c r="B20" s="26" t="s">
        <v>69</v>
      </c>
      <c r="C20" s="27" t="s">
        <v>70</v>
      </c>
      <c r="D20" s="27" t="str">
        <f t="shared" ref="D20:M29" si="4">+"rokwzgl="&amp;D$9&amp;" i lp="&amp;$A20</f>
        <v>rokwzgl=0 i lp=110</v>
      </c>
      <c r="E20" s="27" t="str">
        <f t="shared" si="4"/>
        <v>rokwzgl=0 i lp=110</v>
      </c>
      <c r="F20" s="27" t="str">
        <f t="shared" si="4"/>
        <v>rokwzgl=1 i lp=110</v>
      </c>
      <c r="G20" s="27" t="str">
        <f t="shared" si="4"/>
        <v>rokwzgl=2 i lp=110</v>
      </c>
      <c r="H20" s="27" t="str">
        <f t="shared" si="4"/>
        <v>rokwzgl=3 i lp=110</v>
      </c>
      <c r="I20" s="27" t="str">
        <f t="shared" si="4"/>
        <v>rokwzgl=4 i lp=110</v>
      </c>
      <c r="J20" s="27" t="str">
        <f t="shared" si="4"/>
        <v>rokwzgl=5 i lp=110</v>
      </c>
      <c r="K20" s="27" t="str">
        <f t="shared" si="4"/>
        <v>rokwzgl=6 i lp=110</v>
      </c>
      <c r="L20" s="27" t="str">
        <f t="shared" si="4"/>
        <v>rokwzgl=7 i lp=110</v>
      </c>
      <c r="M20" s="27" t="str">
        <f t="shared" si="4"/>
        <v>rokwzgl=8 i lp=110</v>
      </c>
      <c r="N20" s="27" t="str">
        <f t="shared" ref="N20:W29" si="5">+"rokwzgl="&amp;N$9&amp;" i lp="&amp;$A20</f>
        <v>rokwzgl=9 i lp=110</v>
      </c>
      <c r="O20" s="27" t="str">
        <f t="shared" si="5"/>
        <v>rokwzgl=10 i lp=110</v>
      </c>
      <c r="P20" s="27" t="str">
        <f t="shared" si="5"/>
        <v>rokwzgl=11 i lp=110</v>
      </c>
      <c r="Q20" s="27" t="str">
        <f t="shared" si="5"/>
        <v>rokwzgl=12 i lp=110</v>
      </c>
      <c r="R20" s="27" t="str">
        <f t="shared" si="5"/>
        <v>rokwzgl=13 i lp=110</v>
      </c>
      <c r="S20" s="27" t="str">
        <f t="shared" si="5"/>
        <v>rokwzgl=14 i lp=110</v>
      </c>
      <c r="T20" s="27" t="str">
        <f t="shared" si="5"/>
        <v>rokwzgl=15 i lp=110</v>
      </c>
      <c r="U20" s="27" t="str">
        <f t="shared" si="5"/>
        <v>rokwzgl=16 i lp=110</v>
      </c>
      <c r="V20" s="27" t="str">
        <f t="shared" si="5"/>
        <v>rokwzgl=17 i lp=110</v>
      </c>
      <c r="W20" s="27" t="str">
        <f t="shared" si="5"/>
        <v>rokwzgl=18 i lp=110</v>
      </c>
      <c r="X20" s="27" t="str">
        <f t="shared" ref="X20:AH29" si="6">+"rokwzgl="&amp;X$9&amp;" i lp="&amp;$A20</f>
        <v>rokwzgl=19 i lp=110</v>
      </c>
      <c r="Y20" s="27" t="str">
        <f t="shared" si="6"/>
        <v>rokwzgl=20 i lp=110</v>
      </c>
      <c r="Z20" s="27" t="str">
        <f t="shared" si="6"/>
        <v>rokwzgl=21 i lp=110</v>
      </c>
      <c r="AA20" s="27" t="str">
        <f t="shared" si="6"/>
        <v>rokwzgl=22 i lp=110</v>
      </c>
      <c r="AB20" s="27" t="str">
        <f t="shared" si="6"/>
        <v>rokwzgl=23 i lp=110</v>
      </c>
      <c r="AC20" s="27" t="str">
        <f t="shared" si="6"/>
        <v>rokwzgl=24 i lp=110</v>
      </c>
      <c r="AD20" s="27" t="str">
        <f t="shared" si="6"/>
        <v>rokwzgl=25 i lp=110</v>
      </c>
      <c r="AE20" s="27" t="str">
        <f t="shared" si="6"/>
        <v>rokwzgl=26 i lp=110</v>
      </c>
      <c r="AF20" s="27" t="str">
        <f t="shared" si="6"/>
        <v>rokwzgl=27 i lp=110</v>
      </c>
      <c r="AG20" s="27" t="str">
        <f t="shared" si="6"/>
        <v>rokwzgl=28 i lp=110</v>
      </c>
      <c r="AH20" s="27" t="str">
        <f t="shared" si="6"/>
        <v>rokwzgl=29 i lp=110</v>
      </c>
    </row>
    <row r="21" spans="1:34">
      <c r="A21" s="26">
        <v>120</v>
      </c>
      <c r="B21" s="26">
        <v>2</v>
      </c>
      <c r="C21" s="27" t="s">
        <v>34</v>
      </c>
      <c r="D21" s="27" t="str">
        <f t="shared" si="4"/>
        <v>rokwzgl=0 i lp=120</v>
      </c>
      <c r="E21" s="27" t="str">
        <f t="shared" si="4"/>
        <v>rokwzgl=0 i lp=120</v>
      </c>
      <c r="F21" s="27" t="str">
        <f t="shared" si="4"/>
        <v>rokwzgl=1 i lp=120</v>
      </c>
      <c r="G21" s="27" t="str">
        <f t="shared" si="4"/>
        <v>rokwzgl=2 i lp=120</v>
      </c>
      <c r="H21" s="27" t="str">
        <f t="shared" si="4"/>
        <v>rokwzgl=3 i lp=120</v>
      </c>
      <c r="I21" s="27" t="str">
        <f t="shared" si="4"/>
        <v>rokwzgl=4 i lp=120</v>
      </c>
      <c r="J21" s="27" t="str">
        <f t="shared" si="4"/>
        <v>rokwzgl=5 i lp=120</v>
      </c>
      <c r="K21" s="27" t="str">
        <f t="shared" si="4"/>
        <v>rokwzgl=6 i lp=120</v>
      </c>
      <c r="L21" s="27" t="str">
        <f t="shared" si="4"/>
        <v>rokwzgl=7 i lp=120</v>
      </c>
      <c r="M21" s="27" t="str">
        <f t="shared" si="4"/>
        <v>rokwzgl=8 i lp=120</v>
      </c>
      <c r="N21" s="27" t="str">
        <f t="shared" si="5"/>
        <v>rokwzgl=9 i lp=120</v>
      </c>
      <c r="O21" s="27" t="str">
        <f t="shared" si="5"/>
        <v>rokwzgl=10 i lp=120</v>
      </c>
      <c r="P21" s="27" t="str">
        <f t="shared" si="5"/>
        <v>rokwzgl=11 i lp=120</v>
      </c>
      <c r="Q21" s="27" t="str">
        <f t="shared" si="5"/>
        <v>rokwzgl=12 i lp=120</v>
      </c>
      <c r="R21" s="27" t="str">
        <f t="shared" si="5"/>
        <v>rokwzgl=13 i lp=120</v>
      </c>
      <c r="S21" s="27" t="str">
        <f t="shared" si="5"/>
        <v>rokwzgl=14 i lp=120</v>
      </c>
      <c r="T21" s="27" t="str">
        <f t="shared" si="5"/>
        <v>rokwzgl=15 i lp=120</v>
      </c>
      <c r="U21" s="27" t="str">
        <f t="shared" si="5"/>
        <v>rokwzgl=16 i lp=120</v>
      </c>
      <c r="V21" s="27" t="str">
        <f t="shared" si="5"/>
        <v>rokwzgl=17 i lp=120</v>
      </c>
      <c r="W21" s="27" t="str">
        <f t="shared" si="5"/>
        <v>rokwzgl=18 i lp=120</v>
      </c>
      <c r="X21" s="27" t="str">
        <f t="shared" si="6"/>
        <v>rokwzgl=19 i lp=120</v>
      </c>
      <c r="Y21" s="27" t="str">
        <f t="shared" si="6"/>
        <v>rokwzgl=20 i lp=120</v>
      </c>
      <c r="Z21" s="27" t="str">
        <f t="shared" si="6"/>
        <v>rokwzgl=21 i lp=120</v>
      </c>
      <c r="AA21" s="27" t="str">
        <f t="shared" si="6"/>
        <v>rokwzgl=22 i lp=120</v>
      </c>
      <c r="AB21" s="27" t="str">
        <f t="shared" si="6"/>
        <v>rokwzgl=23 i lp=120</v>
      </c>
      <c r="AC21" s="27" t="str">
        <f t="shared" si="6"/>
        <v>rokwzgl=24 i lp=120</v>
      </c>
      <c r="AD21" s="27" t="str">
        <f t="shared" si="6"/>
        <v>rokwzgl=25 i lp=120</v>
      </c>
      <c r="AE21" s="27" t="str">
        <f t="shared" si="6"/>
        <v>rokwzgl=26 i lp=120</v>
      </c>
      <c r="AF21" s="27" t="str">
        <f t="shared" si="6"/>
        <v>rokwzgl=27 i lp=120</v>
      </c>
      <c r="AG21" s="27" t="str">
        <f t="shared" si="6"/>
        <v>rokwzgl=28 i lp=120</v>
      </c>
      <c r="AH21" s="27" t="str">
        <f t="shared" si="6"/>
        <v>rokwzgl=29 i lp=120</v>
      </c>
    </row>
    <row r="22" spans="1:34">
      <c r="A22" s="26">
        <v>130</v>
      </c>
      <c r="B22" s="26">
        <v>2.1</v>
      </c>
      <c r="C22" s="27" t="s">
        <v>71</v>
      </c>
      <c r="D22" s="27" t="str">
        <f t="shared" si="4"/>
        <v>rokwzgl=0 i lp=130</v>
      </c>
      <c r="E22" s="27" t="str">
        <f t="shared" si="4"/>
        <v>rokwzgl=0 i lp=130</v>
      </c>
      <c r="F22" s="27" t="str">
        <f t="shared" si="4"/>
        <v>rokwzgl=1 i lp=130</v>
      </c>
      <c r="G22" s="27" t="str">
        <f t="shared" si="4"/>
        <v>rokwzgl=2 i lp=130</v>
      </c>
      <c r="H22" s="27" t="str">
        <f t="shared" si="4"/>
        <v>rokwzgl=3 i lp=130</v>
      </c>
      <c r="I22" s="27" t="str">
        <f t="shared" si="4"/>
        <v>rokwzgl=4 i lp=130</v>
      </c>
      <c r="J22" s="27" t="str">
        <f t="shared" si="4"/>
        <v>rokwzgl=5 i lp=130</v>
      </c>
      <c r="K22" s="27" t="str">
        <f t="shared" si="4"/>
        <v>rokwzgl=6 i lp=130</v>
      </c>
      <c r="L22" s="27" t="str">
        <f t="shared" si="4"/>
        <v>rokwzgl=7 i lp=130</v>
      </c>
      <c r="M22" s="27" t="str">
        <f t="shared" si="4"/>
        <v>rokwzgl=8 i lp=130</v>
      </c>
      <c r="N22" s="27" t="str">
        <f t="shared" si="5"/>
        <v>rokwzgl=9 i lp=130</v>
      </c>
      <c r="O22" s="27" t="str">
        <f t="shared" si="5"/>
        <v>rokwzgl=10 i lp=130</v>
      </c>
      <c r="P22" s="27" t="str">
        <f t="shared" si="5"/>
        <v>rokwzgl=11 i lp=130</v>
      </c>
      <c r="Q22" s="27" t="str">
        <f t="shared" si="5"/>
        <v>rokwzgl=12 i lp=130</v>
      </c>
      <c r="R22" s="27" t="str">
        <f t="shared" si="5"/>
        <v>rokwzgl=13 i lp=130</v>
      </c>
      <c r="S22" s="27" t="str">
        <f t="shared" si="5"/>
        <v>rokwzgl=14 i lp=130</v>
      </c>
      <c r="T22" s="27" t="str">
        <f t="shared" si="5"/>
        <v>rokwzgl=15 i lp=130</v>
      </c>
      <c r="U22" s="27" t="str">
        <f t="shared" si="5"/>
        <v>rokwzgl=16 i lp=130</v>
      </c>
      <c r="V22" s="27" t="str">
        <f t="shared" si="5"/>
        <v>rokwzgl=17 i lp=130</v>
      </c>
      <c r="W22" s="27" t="str">
        <f t="shared" si="5"/>
        <v>rokwzgl=18 i lp=130</v>
      </c>
      <c r="X22" s="27" t="str">
        <f t="shared" si="6"/>
        <v>rokwzgl=19 i lp=130</v>
      </c>
      <c r="Y22" s="27" t="str">
        <f t="shared" si="6"/>
        <v>rokwzgl=20 i lp=130</v>
      </c>
      <c r="Z22" s="27" t="str">
        <f t="shared" si="6"/>
        <v>rokwzgl=21 i lp=130</v>
      </c>
      <c r="AA22" s="27" t="str">
        <f t="shared" si="6"/>
        <v>rokwzgl=22 i lp=130</v>
      </c>
      <c r="AB22" s="27" t="str">
        <f t="shared" si="6"/>
        <v>rokwzgl=23 i lp=130</v>
      </c>
      <c r="AC22" s="27" t="str">
        <f t="shared" si="6"/>
        <v>rokwzgl=24 i lp=130</v>
      </c>
      <c r="AD22" s="27" t="str">
        <f t="shared" si="6"/>
        <v>rokwzgl=25 i lp=130</v>
      </c>
      <c r="AE22" s="27" t="str">
        <f t="shared" si="6"/>
        <v>rokwzgl=26 i lp=130</v>
      </c>
      <c r="AF22" s="27" t="str">
        <f t="shared" si="6"/>
        <v>rokwzgl=27 i lp=130</v>
      </c>
      <c r="AG22" s="27" t="str">
        <f t="shared" si="6"/>
        <v>rokwzgl=28 i lp=130</v>
      </c>
      <c r="AH22" s="27" t="str">
        <f t="shared" si="6"/>
        <v>rokwzgl=29 i lp=130</v>
      </c>
    </row>
    <row r="23" spans="1:34">
      <c r="A23" s="26">
        <v>140</v>
      </c>
      <c r="B23" s="26" t="s">
        <v>72</v>
      </c>
      <c r="C23" s="27" t="s">
        <v>73</v>
      </c>
      <c r="D23" s="27" t="str">
        <f t="shared" si="4"/>
        <v>rokwzgl=0 i lp=140</v>
      </c>
      <c r="E23" s="27" t="str">
        <f t="shared" si="4"/>
        <v>rokwzgl=0 i lp=140</v>
      </c>
      <c r="F23" s="27" t="str">
        <f t="shared" si="4"/>
        <v>rokwzgl=1 i lp=140</v>
      </c>
      <c r="G23" s="27" t="str">
        <f t="shared" si="4"/>
        <v>rokwzgl=2 i lp=140</v>
      </c>
      <c r="H23" s="27" t="str">
        <f t="shared" si="4"/>
        <v>rokwzgl=3 i lp=140</v>
      </c>
      <c r="I23" s="27" t="str">
        <f t="shared" si="4"/>
        <v>rokwzgl=4 i lp=140</v>
      </c>
      <c r="J23" s="27" t="str">
        <f t="shared" si="4"/>
        <v>rokwzgl=5 i lp=140</v>
      </c>
      <c r="K23" s="27" t="str">
        <f t="shared" si="4"/>
        <v>rokwzgl=6 i lp=140</v>
      </c>
      <c r="L23" s="27" t="str">
        <f t="shared" si="4"/>
        <v>rokwzgl=7 i lp=140</v>
      </c>
      <c r="M23" s="27" t="str">
        <f t="shared" si="4"/>
        <v>rokwzgl=8 i lp=140</v>
      </c>
      <c r="N23" s="27" t="str">
        <f t="shared" si="5"/>
        <v>rokwzgl=9 i lp=140</v>
      </c>
      <c r="O23" s="27" t="str">
        <f t="shared" si="5"/>
        <v>rokwzgl=10 i lp=140</v>
      </c>
      <c r="P23" s="27" t="str">
        <f t="shared" si="5"/>
        <v>rokwzgl=11 i lp=140</v>
      </c>
      <c r="Q23" s="27" t="str">
        <f t="shared" si="5"/>
        <v>rokwzgl=12 i lp=140</v>
      </c>
      <c r="R23" s="27" t="str">
        <f t="shared" si="5"/>
        <v>rokwzgl=13 i lp=140</v>
      </c>
      <c r="S23" s="27" t="str">
        <f t="shared" si="5"/>
        <v>rokwzgl=14 i lp=140</v>
      </c>
      <c r="T23" s="27" t="str">
        <f t="shared" si="5"/>
        <v>rokwzgl=15 i lp=140</v>
      </c>
      <c r="U23" s="27" t="str">
        <f t="shared" si="5"/>
        <v>rokwzgl=16 i lp=140</v>
      </c>
      <c r="V23" s="27" t="str">
        <f t="shared" si="5"/>
        <v>rokwzgl=17 i lp=140</v>
      </c>
      <c r="W23" s="27" t="str">
        <f t="shared" si="5"/>
        <v>rokwzgl=18 i lp=140</v>
      </c>
      <c r="X23" s="27" t="str">
        <f t="shared" si="6"/>
        <v>rokwzgl=19 i lp=140</v>
      </c>
      <c r="Y23" s="27" t="str">
        <f t="shared" si="6"/>
        <v>rokwzgl=20 i lp=140</v>
      </c>
      <c r="Z23" s="27" t="str">
        <f t="shared" si="6"/>
        <v>rokwzgl=21 i lp=140</v>
      </c>
      <c r="AA23" s="27" t="str">
        <f t="shared" si="6"/>
        <v>rokwzgl=22 i lp=140</v>
      </c>
      <c r="AB23" s="27" t="str">
        <f t="shared" si="6"/>
        <v>rokwzgl=23 i lp=140</v>
      </c>
      <c r="AC23" s="27" t="str">
        <f t="shared" si="6"/>
        <v>rokwzgl=24 i lp=140</v>
      </c>
      <c r="AD23" s="27" t="str">
        <f t="shared" si="6"/>
        <v>rokwzgl=25 i lp=140</v>
      </c>
      <c r="AE23" s="27" t="str">
        <f t="shared" si="6"/>
        <v>rokwzgl=26 i lp=140</v>
      </c>
      <c r="AF23" s="27" t="str">
        <f t="shared" si="6"/>
        <v>rokwzgl=27 i lp=140</v>
      </c>
      <c r="AG23" s="27" t="str">
        <f t="shared" si="6"/>
        <v>rokwzgl=28 i lp=140</v>
      </c>
      <c r="AH23" s="27" t="str">
        <f t="shared" si="6"/>
        <v>rokwzgl=29 i lp=140</v>
      </c>
    </row>
    <row r="24" spans="1:34">
      <c r="A24" s="26">
        <v>150</v>
      </c>
      <c r="B24" s="26" t="s">
        <v>74</v>
      </c>
      <c r="C24" s="27" t="s">
        <v>75</v>
      </c>
      <c r="D24" s="27" t="str">
        <f t="shared" si="4"/>
        <v>rokwzgl=0 i lp=150</v>
      </c>
      <c r="E24" s="27" t="str">
        <f t="shared" si="4"/>
        <v>rokwzgl=0 i lp=150</v>
      </c>
      <c r="F24" s="27" t="str">
        <f t="shared" si="4"/>
        <v>rokwzgl=1 i lp=150</v>
      </c>
      <c r="G24" s="27" t="str">
        <f t="shared" si="4"/>
        <v>rokwzgl=2 i lp=150</v>
      </c>
      <c r="H24" s="27" t="str">
        <f t="shared" si="4"/>
        <v>rokwzgl=3 i lp=150</v>
      </c>
      <c r="I24" s="27" t="str">
        <f t="shared" si="4"/>
        <v>rokwzgl=4 i lp=150</v>
      </c>
      <c r="J24" s="27" t="str">
        <f t="shared" si="4"/>
        <v>rokwzgl=5 i lp=150</v>
      </c>
      <c r="K24" s="27" t="str">
        <f t="shared" si="4"/>
        <v>rokwzgl=6 i lp=150</v>
      </c>
      <c r="L24" s="27" t="str">
        <f t="shared" si="4"/>
        <v>rokwzgl=7 i lp=150</v>
      </c>
      <c r="M24" s="27" t="str">
        <f t="shared" si="4"/>
        <v>rokwzgl=8 i lp=150</v>
      </c>
      <c r="N24" s="27" t="str">
        <f t="shared" si="5"/>
        <v>rokwzgl=9 i lp=150</v>
      </c>
      <c r="O24" s="27" t="str">
        <f t="shared" si="5"/>
        <v>rokwzgl=10 i lp=150</v>
      </c>
      <c r="P24" s="27" t="str">
        <f t="shared" si="5"/>
        <v>rokwzgl=11 i lp=150</v>
      </c>
      <c r="Q24" s="27" t="str">
        <f t="shared" si="5"/>
        <v>rokwzgl=12 i lp=150</v>
      </c>
      <c r="R24" s="27" t="str">
        <f t="shared" si="5"/>
        <v>rokwzgl=13 i lp=150</v>
      </c>
      <c r="S24" s="27" t="str">
        <f t="shared" si="5"/>
        <v>rokwzgl=14 i lp=150</v>
      </c>
      <c r="T24" s="27" t="str">
        <f t="shared" si="5"/>
        <v>rokwzgl=15 i lp=150</v>
      </c>
      <c r="U24" s="27" t="str">
        <f t="shared" si="5"/>
        <v>rokwzgl=16 i lp=150</v>
      </c>
      <c r="V24" s="27" t="str">
        <f t="shared" si="5"/>
        <v>rokwzgl=17 i lp=150</v>
      </c>
      <c r="W24" s="27" t="str">
        <f t="shared" si="5"/>
        <v>rokwzgl=18 i lp=150</v>
      </c>
      <c r="X24" s="27" t="str">
        <f t="shared" si="6"/>
        <v>rokwzgl=19 i lp=150</v>
      </c>
      <c r="Y24" s="27" t="str">
        <f t="shared" si="6"/>
        <v>rokwzgl=20 i lp=150</v>
      </c>
      <c r="Z24" s="27" t="str">
        <f t="shared" si="6"/>
        <v>rokwzgl=21 i lp=150</v>
      </c>
      <c r="AA24" s="27" t="str">
        <f t="shared" si="6"/>
        <v>rokwzgl=22 i lp=150</v>
      </c>
      <c r="AB24" s="27" t="str">
        <f t="shared" si="6"/>
        <v>rokwzgl=23 i lp=150</v>
      </c>
      <c r="AC24" s="27" t="str">
        <f t="shared" si="6"/>
        <v>rokwzgl=24 i lp=150</v>
      </c>
      <c r="AD24" s="27" t="str">
        <f t="shared" si="6"/>
        <v>rokwzgl=25 i lp=150</v>
      </c>
      <c r="AE24" s="27" t="str">
        <f t="shared" si="6"/>
        <v>rokwzgl=26 i lp=150</v>
      </c>
      <c r="AF24" s="27" t="str">
        <f t="shared" si="6"/>
        <v>rokwzgl=27 i lp=150</v>
      </c>
      <c r="AG24" s="27" t="str">
        <f t="shared" si="6"/>
        <v>rokwzgl=28 i lp=150</v>
      </c>
      <c r="AH24" s="27" t="str">
        <f t="shared" si="6"/>
        <v>rokwzgl=29 i lp=150</v>
      </c>
    </row>
    <row r="25" spans="1:34">
      <c r="A25" s="26">
        <v>160</v>
      </c>
      <c r="B25" s="26" t="s">
        <v>76</v>
      </c>
      <c r="C25" s="27" t="s">
        <v>77</v>
      </c>
      <c r="D25" s="27" t="str">
        <f t="shared" si="4"/>
        <v>rokwzgl=0 i lp=160</v>
      </c>
      <c r="E25" s="27" t="str">
        <f t="shared" si="4"/>
        <v>rokwzgl=0 i lp=160</v>
      </c>
      <c r="F25" s="27" t="str">
        <f t="shared" si="4"/>
        <v>rokwzgl=1 i lp=160</v>
      </c>
      <c r="G25" s="27" t="str">
        <f t="shared" si="4"/>
        <v>rokwzgl=2 i lp=160</v>
      </c>
      <c r="H25" s="27" t="str">
        <f t="shared" si="4"/>
        <v>rokwzgl=3 i lp=160</v>
      </c>
      <c r="I25" s="27" t="str">
        <f t="shared" si="4"/>
        <v>rokwzgl=4 i lp=160</v>
      </c>
      <c r="J25" s="27" t="str">
        <f t="shared" si="4"/>
        <v>rokwzgl=5 i lp=160</v>
      </c>
      <c r="K25" s="27" t="str">
        <f t="shared" si="4"/>
        <v>rokwzgl=6 i lp=160</v>
      </c>
      <c r="L25" s="27" t="str">
        <f t="shared" si="4"/>
        <v>rokwzgl=7 i lp=160</v>
      </c>
      <c r="M25" s="27" t="str">
        <f t="shared" si="4"/>
        <v>rokwzgl=8 i lp=160</v>
      </c>
      <c r="N25" s="27" t="str">
        <f t="shared" si="5"/>
        <v>rokwzgl=9 i lp=160</v>
      </c>
      <c r="O25" s="27" t="str">
        <f t="shared" si="5"/>
        <v>rokwzgl=10 i lp=160</v>
      </c>
      <c r="P25" s="27" t="str">
        <f t="shared" si="5"/>
        <v>rokwzgl=11 i lp=160</v>
      </c>
      <c r="Q25" s="27" t="str">
        <f t="shared" si="5"/>
        <v>rokwzgl=12 i lp=160</v>
      </c>
      <c r="R25" s="27" t="str">
        <f t="shared" si="5"/>
        <v>rokwzgl=13 i lp=160</v>
      </c>
      <c r="S25" s="27" t="str">
        <f t="shared" si="5"/>
        <v>rokwzgl=14 i lp=160</v>
      </c>
      <c r="T25" s="27" t="str">
        <f t="shared" si="5"/>
        <v>rokwzgl=15 i lp=160</v>
      </c>
      <c r="U25" s="27" t="str">
        <f t="shared" si="5"/>
        <v>rokwzgl=16 i lp=160</v>
      </c>
      <c r="V25" s="27" t="str">
        <f t="shared" si="5"/>
        <v>rokwzgl=17 i lp=160</v>
      </c>
      <c r="W25" s="27" t="str">
        <f t="shared" si="5"/>
        <v>rokwzgl=18 i lp=160</v>
      </c>
      <c r="X25" s="27" t="str">
        <f t="shared" si="6"/>
        <v>rokwzgl=19 i lp=160</v>
      </c>
      <c r="Y25" s="27" t="str">
        <f t="shared" si="6"/>
        <v>rokwzgl=20 i lp=160</v>
      </c>
      <c r="Z25" s="27" t="str">
        <f t="shared" si="6"/>
        <v>rokwzgl=21 i lp=160</v>
      </c>
      <c r="AA25" s="27" t="str">
        <f t="shared" si="6"/>
        <v>rokwzgl=22 i lp=160</v>
      </c>
      <c r="AB25" s="27" t="str">
        <f t="shared" si="6"/>
        <v>rokwzgl=23 i lp=160</v>
      </c>
      <c r="AC25" s="27" t="str">
        <f t="shared" si="6"/>
        <v>rokwzgl=24 i lp=160</v>
      </c>
      <c r="AD25" s="27" t="str">
        <f t="shared" si="6"/>
        <v>rokwzgl=25 i lp=160</v>
      </c>
      <c r="AE25" s="27" t="str">
        <f t="shared" si="6"/>
        <v>rokwzgl=26 i lp=160</v>
      </c>
      <c r="AF25" s="27" t="str">
        <f t="shared" si="6"/>
        <v>rokwzgl=27 i lp=160</v>
      </c>
      <c r="AG25" s="27" t="str">
        <f t="shared" si="6"/>
        <v>rokwzgl=28 i lp=160</v>
      </c>
      <c r="AH25" s="27" t="str">
        <f t="shared" si="6"/>
        <v>rokwzgl=29 i lp=160</v>
      </c>
    </row>
    <row r="26" spans="1:34">
      <c r="A26" s="26">
        <v>170</v>
      </c>
      <c r="B26" s="26" t="s">
        <v>78</v>
      </c>
      <c r="C26" s="27" t="s">
        <v>79</v>
      </c>
      <c r="D26" s="27" t="str">
        <f t="shared" si="4"/>
        <v>rokwzgl=0 i lp=170</v>
      </c>
      <c r="E26" s="27" t="str">
        <f t="shared" si="4"/>
        <v>rokwzgl=0 i lp=170</v>
      </c>
      <c r="F26" s="27" t="str">
        <f t="shared" si="4"/>
        <v>rokwzgl=1 i lp=170</v>
      </c>
      <c r="G26" s="27" t="str">
        <f t="shared" si="4"/>
        <v>rokwzgl=2 i lp=170</v>
      </c>
      <c r="H26" s="27" t="str">
        <f t="shared" si="4"/>
        <v>rokwzgl=3 i lp=170</v>
      </c>
      <c r="I26" s="27" t="str">
        <f t="shared" si="4"/>
        <v>rokwzgl=4 i lp=170</v>
      </c>
      <c r="J26" s="27" t="str">
        <f t="shared" si="4"/>
        <v>rokwzgl=5 i lp=170</v>
      </c>
      <c r="K26" s="27" t="str">
        <f t="shared" si="4"/>
        <v>rokwzgl=6 i lp=170</v>
      </c>
      <c r="L26" s="27" t="str">
        <f t="shared" si="4"/>
        <v>rokwzgl=7 i lp=170</v>
      </c>
      <c r="M26" s="27" t="str">
        <f t="shared" si="4"/>
        <v>rokwzgl=8 i lp=170</v>
      </c>
      <c r="N26" s="27" t="str">
        <f t="shared" si="5"/>
        <v>rokwzgl=9 i lp=170</v>
      </c>
      <c r="O26" s="27" t="str">
        <f t="shared" si="5"/>
        <v>rokwzgl=10 i lp=170</v>
      </c>
      <c r="P26" s="27" t="str">
        <f t="shared" si="5"/>
        <v>rokwzgl=11 i lp=170</v>
      </c>
      <c r="Q26" s="27" t="str">
        <f t="shared" si="5"/>
        <v>rokwzgl=12 i lp=170</v>
      </c>
      <c r="R26" s="27" t="str">
        <f t="shared" si="5"/>
        <v>rokwzgl=13 i lp=170</v>
      </c>
      <c r="S26" s="27" t="str">
        <f t="shared" si="5"/>
        <v>rokwzgl=14 i lp=170</v>
      </c>
      <c r="T26" s="27" t="str">
        <f t="shared" si="5"/>
        <v>rokwzgl=15 i lp=170</v>
      </c>
      <c r="U26" s="27" t="str">
        <f t="shared" si="5"/>
        <v>rokwzgl=16 i lp=170</v>
      </c>
      <c r="V26" s="27" t="str">
        <f t="shared" si="5"/>
        <v>rokwzgl=17 i lp=170</v>
      </c>
      <c r="W26" s="27" t="str">
        <f t="shared" si="5"/>
        <v>rokwzgl=18 i lp=170</v>
      </c>
      <c r="X26" s="27" t="str">
        <f t="shared" si="6"/>
        <v>rokwzgl=19 i lp=170</v>
      </c>
      <c r="Y26" s="27" t="str">
        <f t="shared" si="6"/>
        <v>rokwzgl=20 i lp=170</v>
      </c>
      <c r="Z26" s="27" t="str">
        <f t="shared" si="6"/>
        <v>rokwzgl=21 i lp=170</v>
      </c>
      <c r="AA26" s="27" t="str">
        <f t="shared" si="6"/>
        <v>rokwzgl=22 i lp=170</v>
      </c>
      <c r="AB26" s="27" t="str">
        <f t="shared" si="6"/>
        <v>rokwzgl=23 i lp=170</v>
      </c>
      <c r="AC26" s="27" t="str">
        <f t="shared" si="6"/>
        <v>rokwzgl=24 i lp=170</v>
      </c>
      <c r="AD26" s="27" t="str">
        <f t="shared" si="6"/>
        <v>rokwzgl=25 i lp=170</v>
      </c>
      <c r="AE26" s="27" t="str">
        <f t="shared" si="6"/>
        <v>rokwzgl=26 i lp=170</v>
      </c>
      <c r="AF26" s="27" t="str">
        <f t="shared" si="6"/>
        <v>rokwzgl=27 i lp=170</v>
      </c>
      <c r="AG26" s="27" t="str">
        <f t="shared" si="6"/>
        <v>rokwzgl=28 i lp=170</v>
      </c>
      <c r="AH26" s="27" t="str">
        <f t="shared" si="6"/>
        <v>rokwzgl=29 i lp=170</v>
      </c>
    </row>
    <row r="27" spans="1:34">
      <c r="A27" s="26">
        <v>180</v>
      </c>
      <c r="B27" s="26" t="s">
        <v>80</v>
      </c>
      <c r="C27" s="27" t="s">
        <v>81</v>
      </c>
      <c r="D27" s="27" t="str">
        <f t="shared" si="4"/>
        <v>rokwzgl=0 i lp=180</v>
      </c>
      <c r="E27" s="27" t="str">
        <f t="shared" si="4"/>
        <v>rokwzgl=0 i lp=180</v>
      </c>
      <c r="F27" s="27" t="str">
        <f t="shared" si="4"/>
        <v>rokwzgl=1 i lp=180</v>
      </c>
      <c r="G27" s="27" t="str">
        <f t="shared" si="4"/>
        <v>rokwzgl=2 i lp=180</v>
      </c>
      <c r="H27" s="27" t="str">
        <f t="shared" si="4"/>
        <v>rokwzgl=3 i lp=180</v>
      </c>
      <c r="I27" s="27" t="str">
        <f t="shared" si="4"/>
        <v>rokwzgl=4 i lp=180</v>
      </c>
      <c r="J27" s="27" t="str">
        <f t="shared" si="4"/>
        <v>rokwzgl=5 i lp=180</v>
      </c>
      <c r="K27" s="27" t="str">
        <f t="shared" si="4"/>
        <v>rokwzgl=6 i lp=180</v>
      </c>
      <c r="L27" s="27" t="str">
        <f t="shared" si="4"/>
        <v>rokwzgl=7 i lp=180</v>
      </c>
      <c r="M27" s="27" t="str">
        <f t="shared" si="4"/>
        <v>rokwzgl=8 i lp=180</v>
      </c>
      <c r="N27" s="27" t="str">
        <f t="shared" si="5"/>
        <v>rokwzgl=9 i lp=180</v>
      </c>
      <c r="O27" s="27" t="str">
        <f t="shared" si="5"/>
        <v>rokwzgl=10 i lp=180</v>
      </c>
      <c r="P27" s="27" t="str">
        <f t="shared" si="5"/>
        <v>rokwzgl=11 i lp=180</v>
      </c>
      <c r="Q27" s="27" t="str">
        <f t="shared" si="5"/>
        <v>rokwzgl=12 i lp=180</v>
      </c>
      <c r="R27" s="27" t="str">
        <f t="shared" si="5"/>
        <v>rokwzgl=13 i lp=180</v>
      </c>
      <c r="S27" s="27" t="str">
        <f t="shared" si="5"/>
        <v>rokwzgl=14 i lp=180</v>
      </c>
      <c r="T27" s="27" t="str">
        <f t="shared" si="5"/>
        <v>rokwzgl=15 i lp=180</v>
      </c>
      <c r="U27" s="27" t="str">
        <f t="shared" si="5"/>
        <v>rokwzgl=16 i lp=180</v>
      </c>
      <c r="V27" s="27" t="str">
        <f t="shared" si="5"/>
        <v>rokwzgl=17 i lp=180</v>
      </c>
      <c r="W27" s="27" t="str">
        <f t="shared" si="5"/>
        <v>rokwzgl=18 i lp=180</v>
      </c>
      <c r="X27" s="27" t="str">
        <f t="shared" si="6"/>
        <v>rokwzgl=19 i lp=180</v>
      </c>
      <c r="Y27" s="27" t="str">
        <f t="shared" si="6"/>
        <v>rokwzgl=20 i lp=180</v>
      </c>
      <c r="Z27" s="27" t="str">
        <f t="shared" si="6"/>
        <v>rokwzgl=21 i lp=180</v>
      </c>
      <c r="AA27" s="27" t="str">
        <f t="shared" si="6"/>
        <v>rokwzgl=22 i lp=180</v>
      </c>
      <c r="AB27" s="27" t="str">
        <f t="shared" si="6"/>
        <v>rokwzgl=23 i lp=180</v>
      </c>
      <c r="AC27" s="27" t="str">
        <f t="shared" si="6"/>
        <v>rokwzgl=24 i lp=180</v>
      </c>
      <c r="AD27" s="27" t="str">
        <f t="shared" si="6"/>
        <v>rokwzgl=25 i lp=180</v>
      </c>
      <c r="AE27" s="27" t="str">
        <f t="shared" si="6"/>
        <v>rokwzgl=26 i lp=180</v>
      </c>
      <c r="AF27" s="27" t="str">
        <f t="shared" si="6"/>
        <v>rokwzgl=27 i lp=180</v>
      </c>
      <c r="AG27" s="27" t="str">
        <f t="shared" si="6"/>
        <v>rokwzgl=28 i lp=180</v>
      </c>
      <c r="AH27" s="27" t="str">
        <f t="shared" si="6"/>
        <v>rokwzgl=29 i lp=180</v>
      </c>
    </row>
    <row r="28" spans="1:34">
      <c r="A28" s="26">
        <v>190</v>
      </c>
      <c r="B28" s="26">
        <v>2.2000000000000002</v>
      </c>
      <c r="C28" s="27" t="s">
        <v>82</v>
      </c>
      <c r="D28" s="27" t="str">
        <f t="shared" si="4"/>
        <v>rokwzgl=0 i lp=190</v>
      </c>
      <c r="E28" s="27" t="str">
        <f t="shared" si="4"/>
        <v>rokwzgl=0 i lp=190</v>
      </c>
      <c r="F28" s="27" t="str">
        <f t="shared" si="4"/>
        <v>rokwzgl=1 i lp=190</v>
      </c>
      <c r="G28" s="27" t="str">
        <f t="shared" si="4"/>
        <v>rokwzgl=2 i lp=190</v>
      </c>
      <c r="H28" s="27" t="str">
        <f t="shared" si="4"/>
        <v>rokwzgl=3 i lp=190</v>
      </c>
      <c r="I28" s="27" t="str">
        <f t="shared" si="4"/>
        <v>rokwzgl=4 i lp=190</v>
      </c>
      <c r="J28" s="27" t="str">
        <f t="shared" si="4"/>
        <v>rokwzgl=5 i lp=190</v>
      </c>
      <c r="K28" s="27" t="str">
        <f t="shared" si="4"/>
        <v>rokwzgl=6 i lp=190</v>
      </c>
      <c r="L28" s="27" t="str">
        <f t="shared" si="4"/>
        <v>rokwzgl=7 i lp=190</v>
      </c>
      <c r="M28" s="27" t="str">
        <f t="shared" si="4"/>
        <v>rokwzgl=8 i lp=190</v>
      </c>
      <c r="N28" s="27" t="str">
        <f t="shared" si="5"/>
        <v>rokwzgl=9 i lp=190</v>
      </c>
      <c r="O28" s="27" t="str">
        <f t="shared" si="5"/>
        <v>rokwzgl=10 i lp=190</v>
      </c>
      <c r="P28" s="27" t="str">
        <f t="shared" si="5"/>
        <v>rokwzgl=11 i lp=190</v>
      </c>
      <c r="Q28" s="27" t="str">
        <f t="shared" si="5"/>
        <v>rokwzgl=12 i lp=190</v>
      </c>
      <c r="R28" s="27" t="str">
        <f t="shared" si="5"/>
        <v>rokwzgl=13 i lp=190</v>
      </c>
      <c r="S28" s="27" t="str">
        <f t="shared" si="5"/>
        <v>rokwzgl=14 i lp=190</v>
      </c>
      <c r="T28" s="27" t="str">
        <f t="shared" si="5"/>
        <v>rokwzgl=15 i lp=190</v>
      </c>
      <c r="U28" s="27" t="str">
        <f t="shared" si="5"/>
        <v>rokwzgl=16 i lp=190</v>
      </c>
      <c r="V28" s="27" t="str">
        <f t="shared" si="5"/>
        <v>rokwzgl=17 i lp=190</v>
      </c>
      <c r="W28" s="27" t="str">
        <f t="shared" si="5"/>
        <v>rokwzgl=18 i lp=190</v>
      </c>
      <c r="X28" s="27" t="str">
        <f t="shared" si="6"/>
        <v>rokwzgl=19 i lp=190</v>
      </c>
      <c r="Y28" s="27" t="str">
        <f t="shared" si="6"/>
        <v>rokwzgl=20 i lp=190</v>
      </c>
      <c r="Z28" s="27" t="str">
        <f t="shared" si="6"/>
        <v>rokwzgl=21 i lp=190</v>
      </c>
      <c r="AA28" s="27" t="str">
        <f t="shared" si="6"/>
        <v>rokwzgl=22 i lp=190</v>
      </c>
      <c r="AB28" s="27" t="str">
        <f t="shared" si="6"/>
        <v>rokwzgl=23 i lp=190</v>
      </c>
      <c r="AC28" s="27" t="str">
        <f t="shared" si="6"/>
        <v>rokwzgl=24 i lp=190</v>
      </c>
      <c r="AD28" s="27" t="str">
        <f t="shared" si="6"/>
        <v>rokwzgl=25 i lp=190</v>
      </c>
      <c r="AE28" s="27" t="str">
        <f t="shared" si="6"/>
        <v>rokwzgl=26 i lp=190</v>
      </c>
      <c r="AF28" s="27" t="str">
        <f t="shared" si="6"/>
        <v>rokwzgl=27 i lp=190</v>
      </c>
      <c r="AG28" s="27" t="str">
        <f t="shared" si="6"/>
        <v>rokwzgl=28 i lp=190</v>
      </c>
      <c r="AH28" s="27" t="str">
        <f t="shared" si="6"/>
        <v>rokwzgl=29 i lp=190</v>
      </c>
    </row>
    <row r="29" spans="1:34">
      <c r="A29" s="26">
        <v>200</v>
      </c>
      <c r="B29" s="26">
        <v>3</v>
      </c>
      <c r="C29" s="27" t="s">
        <v>36</v>
      </c>
      <c r="D29" s="27" t="str">
        <f t="shared" si="4"/>
        <v>rokwzgl=0 i lp=200</v>
      </c>
      <c r="E29" s="27" t="str">
        <f t="shared" si="4"/>
        <v>rokwzgl=0 i lp=200</v>
      </c>
      <c r="F29" s="27" t="str">
        <f t="shared" si="4"/>
        <v>rokwzgl=1 i lp=200</v>
      </c>
      <c r="G29" s="27" t="str">
        <f t="shared" si="4"/>
        <v>rokwzgl=2 i lp=200</v>
      </c>
      <c r="H29" s="27" t="str">
        <f t="shared" si="4"/>
        <v>rokwzgl=3 i lp=200</v>
      </c>
      <c r="I29" s="27" t="str">
        <f t="shared" si="4"/>
        <v>rokwzgl=4 i lp=200</v>
      </c>
      <c r="J29" s="27" t="str">
        <f t="shared" si="4"/>
        <v>rokwzgl=5 i lp=200</v>
      </c>
      <c r="K29" s="27" t="str">
        <f t="shared" si="4"/>
        <v>rokwzgl=6 i lp=200</v>
      </c>
      <c r="L29" s="27" t="str">
        <f t="shared" si="4"/>
        <v>rokwzgl=7 i lp=200</v>
      </c>
      <c r="M29" s="27" t="str">
        <f t="shared" si="4"/>
        <v>rokwzgl=8 i lp=200</v>
      </c>
      <c r="N29" s="27" t="str">
        <f t="shared" si="5"/>
        <v>rokwzgl=9 i lp=200</v>
      </c>
      <c r="O29" s="27" t="str">
        <f t="shared" si="5"/>
        <v>rokwzgl=10 i lp=200</v>
      </c>
      <c r="P29" s="27" t="str">
        <f t="shared" si="5"/>
        <v>rokwzgl=11 i lp=200</v>
      </c>
      <c r="Q29" s="27" t="str">
        <f t="shared" si="5"/>
        <v>rokwzgl=12 i lp=200</v>
      </c>
      <c r="R29" s="27" t="str">
        <f t="shared" si="5"/>
        <v>rokwzgl=13 i lp=200</v>
      </c>
      <c r="S29" s="27" t="str">
        <f t="shared" si="5"/>
        <v>rokwzgl=14 i lp=200</v>
      </c>
      <c r="T29" s="27" t="str">
        <f t="shared" si="5"/>
        <v>rokwzgl=15 i lp=200</v>
      </c>
      <c r="U29" s="27" t="str">
        <f t="shared" si="5"/>
        <v>rokwzgl=16 i lp=200</v>
      </c>
      <c r="V29" s="27" t="str">
        <f t="shared" si="5"/>
        <v>rokwzgl=17 i lp=200</v>
      </c>
      <c r="W29" s="27" t="str">
        <f t="shared" si="5"/>
        <v>rokwzgl=18 i lp=200</v>
      </c>
      <c r="X29" s="27" t="str">
        <f t="shared" si="6"/>
        <v>rokwzgl=19 i lp=200</v>
      </c>
      <c r="Y29" s="27" t="str">
        <f t="shared" si="6"/>
        <v>rokwzgl=20 i lp=200</v>
      </c>
      <c r="Z29" s="27" t="str">
        <f t="shared" si="6"/>
        <v>rokwzgl=21 i lp=200</v>
      </c>
      <c r="AA29" s="27" t="str">
        <f t="shared" si="6"/>
        <v>rokwzgl=22 i lp=200</v>
      </c>
      <c r="AB29" s="27" t="str">
        <f t="shared" si="6"/>
        <v>rokwzgl=23 i lp=200</v>
      </c>
      <c r="AC29" s="27" t="str">
        <f t="shared" si="6"/>
        <v>rokwzgl=24 i lp=200</v>
      </c>
      <c r="AD29" s="27" t="str">
        <f t="shared" si="6"/>
        <v>rokwzgl=25 i lp=200</v>
      </c>
      <c r="AE29" s="27" t="str">
        <f t="shared" si="6"/>
        <v>rokwzgl=26 i lp=200</v>
      </c>
      <c r="AF29" s="27" t="str">
        <f t="shared" si="6"/>
        <v>rokwzgl=27 i lp=200</v>
      </c>
      <c r="AG29" s="27" t="str">
        <f t="shared" si="6"/>
        <v>rokwzgl=28 i lp=200</v>
      </c>
      <c r="AH29" s="27" t="str">
        <f t="shared" si="6"/>
        <v>rokwzgl=29 i lp=200</v>
      </c>
    </row>
    <row r="30" spans="1:34">
      <c r="A30" s="26">
        <v>210</v>
      </c>
      <c r="B30" s="26">
        <v>4</v>
      </c>
      <c r="C30" s="27" t="s">
        <v>37</v>
      </c>
      <c r="D30" s="27" t="str">
        <f t="shared" ref="D30:M39" si="7">+"rokwzgl="&amp;D$9&amp;" i lp="&amp;$A30</f>
        <v>rokwzgl=0 i lp=210</v>
      </c>
      <c r="E30" s="27" t="str">
        <f t="shared" si="7"/>
        <v>rokwzgl=0 i lp=210</v>
      </c>
      <c r="F30" s="27" t="str">
        <f t="shared" si="7"/>
        <v>rokwzgl=1 i lp=210</v>
      </c>
      <c r="G30" s="27" t="str">
        <f t="shared" si="7"/>
        <v>rokwzgl=2 i lp=210</v>
      </c>
      <c r="H30" s="27" t="str">
        <f t="shared" si="7"/>
        <v>rokwzgl=3 i lp=210</v>
      </c>
      <c r="I30" s="27" t="str">
        <f t="shared" si="7"/>
        <v>rokwzgl=4 i lp=210</v>
      </c>
      <c r="J30" s="27" t="str">
        <f t="shared" si="7"/>
        <v>rokwzgl=5 i lp=210</v>
      </c>
      <c r="K30" s="27" t="str">
        <f t="shared" si="7"/>
        <v>rokwzgl=6 i lp=210</v>
      </c>
      <c r="L30" s="27" t="str">
        <f t="shared" si="7"/>
        <v>rokwzgl=7 i lp=210</v>
      </c>
      <c r="M30" s="27" t="str">
        <f t="shared" si="7"/>
        <v>rokwzgl=8 i lp=210</v>
      </c>
      <c r="N30" s="27" t="str">
        <f t="shared" ref="N30:W39" si="8">+"rokwzgl="&amp;N$9&amp;" i lp="&amp;$A30</f>
        <v>rokwzgl=9 i lp=210</v>
      </c>
      <c r="O30" s="27" t="str">
        <f t="shared" si="8"/>
        <v>rokwzgl=10 i lp=210</v>
      </c>
      <c r="P30" s="27" t="str">
        <f t="shared" si="8"/>
        <v>rokwzgl=11 i lp=210</v>
      </c>
      <c r="Q30" s="27" t="str">
        <f t="shared" si="8"/>
        <v>rokwzgl=12 i lp=210</v>
      </c>
      <c r="R30" s="27" t="str">
        <f t="shared" si="8"/>
        <v>rokwzgl=13 i lp=210</v>
      </c>
      <c r="S30" s="27" t="str">
        <f t="shared" si="8"/>
        <v>rokwzgl=14 i lp=210</v>
      </c>
      <c r="T30" s="27" t="str">
        <f t="shared" si="8"/>
        <v>rokwzgl=15 i lp=210</v>
      </c>
      <c r="U30" s="27" t="str">
        <f t="shared" si="8"/>
        <v>rokwzgl=16 i lp=210</v>
      </c>
      <c r="V30" s="27" t="str">
        <f t="shared" si="8"/>
        <v>rokwzgl=17 i lp=210</v>
      </c>
      <c r="W30" s="27" t="str">
        <f t="shared" si="8"/>
        <v>rokwzgl=18 i lp=210</v>
      </c>
      <c r="X30" s="27" t="str">
        <f t="shared" ref="X30:AH39" si="9">+"rokwzgl="&amp;X$9&amp;" i lp="&amp;$A30</f>
        <v>rokwzgl=19 i lp=210</v>
      </c>
      <c r="Y30" s="27" t="str">
        <f t="shared" si="9"/>
        <v>rokwzgl=20 i lp=210</v>
      </c>
      <c r="Z30" s="27" t="str">
        <f t="shared" si="9"/>
        <v>rokwzgl=21 i lp=210</v>
      </c>
      <c r="AA30" s="27" t="str">
        <f t="shared" si="9"/>
        <v>rokwzgl=22 i lp=210</v>
      </c>
      <c r="AB30" s="27" t="str">
        <f t="shared" si="9"/>
        <v>rokwzgl=23 i lp=210</v>
      </c>
      <c r="AC30" s="27" t="str">
        <f t="shared" si="9"/>
        <v>rokwzgl=24 i lp=210</v>
      </c>
      <c r="AD30" s="27" t="str">
        <f t="shared" si="9"/>
        <v>rokwzgl=25 i lp=210</v>
      </c>
      <c r="AE30" s="27" t="str">
        <f t="shared" si="9"/>
        <v>rokwzgl=26 i lp=210</v>
      </c>
      <c r="AF30" s="27" t="str">
        <f t="shared" si="9"/>
        <v>rokwzgl=27 i lp=210</v>
      </c>
      <c r="AG30" s="27" t="str">
        <f t="shared" si="9"/>
        <v>rokwzgl=28 i lp=210</v>
      </c>
      <c r="AH30" s="27" t="str">
        <f t="shared" si="9"/>
        <v>rokwzgl=29 i lp=210</v>
      </c>
    </row>
    <row r="31" spans="1:34">
      <c r="A31" s="26">
        <v>220</v>
      </c>
      <c r="B31" s="26">
        <v>4.0999999999999996</v>
      </c>
      <c r="C31" s="27" t="s">
        <v>83</v>
      </c>
      <c r="D31" s="27" t="str">
        <f t="shared" si="7"/>
        <v>rokwzgl=0 i lp=220</v>
      </c>
      <c r="E31" s="27" t="str">
        <f t="shared" si="7"/>
        <v>rokwzgl=0 i lp=220</v>
      </c>
      <c r="F31" s="27" t="str">
        <f t="shared" si="7"/>
        <v>rokwzgl=1 i lp=220</v>
      </c>
      <c r="G31" s="27" t="str">
        <f t="shared" si="7"/>
        <v>rokwzgl=2 i lp=220</v>
      </c>
      <c r="H31" s="27" t="str">
        <f t="shared" si="7"/>
        <v>rokwzgl=3 i lp=220</v>
      </c>
      <c r="I31" s="27" t="str">
        <f t="shared" si="7"/>
        <v>rokwzgl=4 i lp=220</v>
      </c>
      <c r="J31" s="27" t="str">
        <f t="shared" si="7"/>
        <v>rokwzgl=5 i lp=220</v>
      </c>
      <c r="K31" s="27" t="str">
        <f t="shared" si="7"/>
        <v>rokwzgl=6 i lp=220</v>
      </c>
      <c r="L31" s="27" t="str">
        <f t="shared" si="7"/>
        <v>rokwzgl=7 i lp=220</v>
      </c>
      <c r="M31" s="27" t="str">
        <f t="shared" si="7"/>
        <v>rokwzgl=8 i lp=220</v>
      </c>
      <c r="N31" s="27" t="str">
        <f t="shared" si="8"/>
        <v>rokwzgl=9 i lp=220</v>
      </c>
      <c r="O31" s="27" t="str">
        <f t="shared" si="8"/>
        <v>rokwzgl=10 i lp=220</v>
      </c>
      <c r="P31" s="27" t="str">
        <f t="shared" si="8"/>
        <v>rokwzgl=11 i lp=220</v>
      </c>
      <c r="Q31" s="27" t="str">
        <f t="shared" si="8"/>
        <v>rokwzgl=12 i lp=220</v>
      </c>
      <c r="R31" s="27" t="str">
        <f t="shared" si="8"/>
        <v>rokwzgl=13 i lp=220</v>
      </c>
      <c r="S31" s="27" t="str">
        <f t="shared" si="8"/>
        <v>rokwzgl=14 i lp=220</v>
      </c>
      <c r="T31" s="27" t="str">
        <f t="shared" si="8"/>
        <v>rokwzgl=15 i lp=220</v>
      </c>
      <c r="U31" s="27" t="str">
        <f t="shared" si="8"/>
        <v>rokwzgl=16 i lp=220</v>
      </c>
      <c r="V31" s="27" t="str">
        <f t="shared" si="8"/>
        <v>rokwzgl=17 i lp=220</v>
      </c>
      <c r="W31" s="27" t="str">
        <f t="shared" si="8"/>
        <v>rokwzgl=18 i lp=220</v>
      </c>
      <c r="X31" s="27" t="str">
        <f t="shared" si="9"/>
        <v>rokwzgl=19 i lp=220</v>
      </c>
      <c r="Y31" s="27" t="str">
        <f t="shared" si="9"/>
        <v>rokwzgl=20 i lp=220</v>
      </c>
      <c r="Z31" s="27" t="str">
        <f t="shared" si="9"/>
        <v>rokwzgl=21 i lp=220</v>
      </c>
      <c r="AA31" s="27" t="str">
        <f t="shared" si="9"/>
        <v>rokwzgl=22 i lp=220</v>
      </c>
      <c r="AB31" s="27" t="str">
        <f t="shared" si="9"/>
        <v>rokwzgl=23 i lp=220</v>
      </c>
      <c r="AC31" s="27" t="str">
        <f t="shared" si="9"/>
        <v>rokwzgl=24 i lp=220</v>
      </c>
      <c r="AD31" s="27" t="str">
        <f t="shared" si="9"/>
        <v>rokwzgl=25 i lp=220</v>
      </c>
      <c r="AE31" s="27" t="str">
        <f t="shared" si="9"/>
        <v>rokwzgl=26 i lp=220</v>
      </c>
      <c r="AF31" s="27" t="str">
        <f t="shared" si="9"/>
        <v>rokwzgl=27 i lp=220</v>
      </c>
      <c r="AG31" s="27" t="str">
        <f t="shared" si="9"/>
        <v>rokwzgl=28 i lp=220</v>
      </c>
      <c r="AH31" s="27" t="str">
        <f t="shared" si="9"/>
        <v>rokwzgl=29 i lp=220</v>
      </c>
    </row>
    <row r="32" spans="1:34">
      <c r="A32" s="26">
        <v>230</v>
      </c>
      <c r="B32" s="26" t="s">
        <v>84</v>
      </c>
      <c r="C32" s="27" t="s">
        <v>85</v>
      </c>
      <c r="D32" s="27" t="str">
        <f t="shared" si="7"/>
        <v>rokwzgl=0 i lp=230</v>
      </c>
      <c r="E32" s="27" t="str">
        <f t="shared" si="7"/>
        <v>rokwzgl=0 i lp=230</v>
      </c>
      <c r="F32" s="27" t="str">
        <f t="shared" si="7"/>
        <v>rokwzgl=1 i lp=230</v>
      </c>
      <c r="G32" s="27" t="str">
        <f t="shared" si="7"/>
        <v>rokwzgl=2 i lp=230</v>
      </c>
      <c r="H32" s="27" t="str">
        <f t="shared" si="7"/>
        <v>rokwzgl=3 i lp=230</v>
      </c>
      <c r="I32" s="27" t="str">
        <f t="shared" si="7"/>
        <v>rokwzgl=4 i lp=230</v>
      </c>
      <c r="J32" s="27" t="str">
        <f t="shared" si="7"/>
        <v>rokwzgl=5 i lp=230</v>
      </c>
      <c r="K32" s="27" t="str">
        <f t="shared" si="7"/>
        <v>rokwzgl=6 i lp=230</v>
      </c>
      <c r="L32" s="27" t="str">
        <f t="shared" si="7"/>
        <v>rokwzgl=7 i lp=230</v>
      </c>
      <c r="M32" s="27" t="str">
        <f t="shared" si="7"/>
        <v>rokwzgl=8 i lp=230</v>
      </c>
      <c r="N32" s="27" t="str">
        <f t="shared" si="8"/>
        <v>rokwzgl=9 i lp=230</v>
      </c>
      <c r="O32" s="27" t="str">
        <f t="shared" si="8"/>
        <v>rokwzgl=10 i lp=230</v>
      </c>
      <c r="P32" s="27" t="str">
        <f t="shared" si="8"/>
        <v>rokwzgl=11 i lp=230</v>
      </c>
      <c r="Q32" s="27" t="str">
        <f t="shared" si="8"/>
        <v>rokwzgl=12 i lp=230</v>
      </c>
      <c r="R32" s="27" t="str">
        <f t="shared" si="8"/>
        <v>rokwzgl=13 i lp=230</v>
      </c>
      <c r="S32" s="27" t="str">
        <f t="shared" si="8"/>
        <v>rokwzgl=14 i lp=230</v>
      </c>
      <c r="T32" s="27" t="str">
        <f t="shared" si="8"/>
        <v>rokwzgl=15 i lp=230</v>
      </c>
      <c r="U32" s="27" t="str">
        <f t="shared" si="8"/>
        <v>rokwzgl=16 i lp=230</v>
      </c>
      <c r="V32" s="27" t="str">
        <f t="shared" si="8"/>
        <v>rokwzgl=17 i lp=230</v>
      </c>
      <c r="W32" s="27" t="str">
        <f t="shared" si="8"/>
        <v>rokwzgl=18 i lp=230</v>
      </c>
      <c r="X32" s="27" t="str">
        <f t="shared" si="9"/>
        <v>rokwzgl=19 i lp=230</v>
      </c>
      <c r="Y32" s="27" t="str">
        <f t="shared" si="9"/>
        <v>rokwzgl=20 i lp=230</v>
      </c>
      <c r="Z32" s="27" t="str">
        <f t="shared" si="9"/>
        <v>rokwzgl=21 i lp=230</v>
      </c>
      <c r="AA32" s="27" t="str">
        <f t="shared" si="9"/>
        <v>rokwzgl=22 i lp=230</v>
      </c>
      <c r="AB32" s="27" t="str">
        <f t="shared" si="9"/>
        <v>rokwzgl=23 i lp=230</v>
      </c>
      <c r="AC32" s="27" t="str">
        <f t="shared" si="9"/>
        <v>rokwzgl=24 i lp=230</v>
      </c>
      <c r="AD32" s="27" t="str">
        <f t="shared" si="9"/>
        <v>rokwzgl=25 i lp=230</v>
      </c>
      <c r="AE32" s="27" t="str">
        <f t="shared" si="9"/>
        <v>rokwzgl=26 i lp=230</v>
      </c>
      <c r="AF32" s="27" t="str">
        <f t="shared" si="9"/>
        <v>rokwzgl=27 i lp=230</v>
      </c>
      <c r="AG32" s="27" t="str">
        <f t="shared" si="9"/>
        <v>rokwzgl=28 i lp=230</v>
      </c>
      <c r="AH32" s="27" t="str">
        <f t="shared" si="9"/>
        <v>rokwzgl=29 i lp=230</v>
      </c>
    </row>
    <row r="33" spans="1:34">
      <c r="A33" s="26">
        <v>240</v>
      </c>
      <c r="B33" s="26">
        <v>4.2</v>
      </c>
      <c r="C33" s="27" t="s">
        <v>86</v>
      </c>
      <c r="D33" s="27" t="str">
        <f t="shared" si="7"/>
        <v>rokwzgl=0 i lp=240</v>
      </c>
      <c r="E33" s="27" t="str">
        <f t="shared" si="7"/>
        <v>rokwzgl=0 i lp=240</v>
      </c>
      <c r="F33" s="27" t="str">
        <f t="shared" si="7"/>
        <v>rokwzgl=1 i lp=240</v>
      </c>
      <c r="G33" s="27" t="str">
        <f t="shared" si="7"/>
        <v>rokwzgl=2 i lp=240</v>
      </c>
      <c r="H33" s="27" t="str">
        <f t="shared" si="7"/>
        <v>rokwzgl=3 i lp=240</v>
      </c>
      <c r="I33" s="27" t="str">
        <f t="shared" si="7"/>
        <v>rokwzgl=4 i lp=240</v>
      </c>
      <c r="J33" s="27" t="str">
        <f t="shared" si="7"/>
        <v>rokwzgl=5 i lp=240</v>
      </c>
      <c r="K33" s="27" t="str">
        <f t="shared" si="7"/>
        <v>rokwzgl=6 i lp=240</v>
      </c>
      <c r="L33" s="27" t="str">
        <f t="shared" si="7"/>
        <v>rokwzgl=7 i lp=240</v>
      </c>
      <c r="M33" s="27" t="str">
        <f t="shared" si="7"/>
        <v>rokwzgl=8 i lp=240</v>
      </c>
      <c r="N33" s="27" t="str">
        <f t="shared" si="8"/>
        <v>rokwzgl=9 i lp=240</v>
      </c>
      <c r="O33" s="27" t="str">
        <f t="shared" si="8"/>
        <v>rokwzgl=10 i lp=240</v>
      </c>
      <c r="P33" s="27" t="str">
        <f t="shared" si="8"/>
        <v>rokwzgl=11 i lp=240</v>
      </c>
      <c r="Q33" s="27" t="str">
        <f t="shared" si="8"/>
        <v>rokwzgl=12 i lp=240</v>
      </c>
      <c r="R33" s="27" t="str">
        <f t="shared" si="8"/>
        <v>rokwzgl=13 i lp=240</v>
      </c>
      <c r="S33" s="27" t="str">
        <f t="shared" si="8"/>
        <v>rokwzgl=14 i lp=240</v>
      </c>
      <c r="T33" s="27" t="str">
        <f t="shared" si="8"/>
        <v>rokwzgl=15 i lp=240</v>
      </c>
      <c r="U33" s="27" t="str">
        <f t="shared" si="8"/>
        <v>rokwzgl=16 i lp=240</v>
      </c>
      <c r="V33" s="27" t="str">
        <f t="shared" si="8"/>
        <v>rokwzgl=17 i lp=240</v>
      </c>
      <c r="W33" s="27" t="str">
        <f t="shared" si="8"/>
        <v>rokwzgl=18 i lp=240</v>
      </c>
      <c r="X33" s="27" t="str">
        <f t="shared" si="9"/>
        <v>rokwzgl=19 i lp=240</v>
      </c>
      <c r="Y33" s="27" t="str">
        <f t="shared" si="9"/>
        <v>rokwzgl=20 i lp=240</v>
      </c>
      <c r="Z33" s="27" t="str">
        <f t="shared" si="9"/>
        <v>rokwzgl=21 i lp=240</v>
      </c>
      <c r="AA33" s="27" t="str">
        <f t="shared" si="9"/>
        <v>rokwzgl=22 i lp=240</v>
      </c>
      <c r="AB33" s="27" t="str">
        <f t="shared" si="9"/>
        <v>rokwzgl=23 i lp=240</v>
      </c>
      <c r="AC33" s="27" t="str">
        <f t="shared" si="9"/>
        <v>rokwzgl=24 i lp=240</v>
      </c>
      <c r="AD33" s="27" t="str">
        <f t="shared" si="9"/>
        <v>rokwzgl=25 i lp=240</v>
      </c>
      <c r="AE33" s="27" t="str">
        <f t="shared" si="9"/>
        <v>rokwzgl=26 i lp=240</v>
      </c>
      <c r="AF33" s="27" t="str">
        <f t="shared" si="9"/>
        <v>rokwzgl=27 i lp=240</v>
      </c>
      <c r="AG33" s="27" t="str">
        <f t="shared" si="9"/>
        <v>rokwzgl=28 i lp=240</v>
      </c>
      <c r="AH33" s="27" t="str">
        <f t="shared" si="9"/>
        <v>rokwzgl=29 i lp=240</v>
      </c>
    </row>
    <row r="34" spans="1:34">
      <c r="A34" s="26">
        <v>250</v>
      </c>
      <c r="B34" s="26" t="s">
        <v>87</v>
      </c>
      <c r="C34" s="27" t="s">
        <v>88</v>
      </c>
      <c r="D34" s="27" t="str">
        <f t="shared" si="7"/>
        <v>rokwzgl=0 i lp=250</v>
      </c>
      <c r="E34" s="27" t="str">
        <f t="shared" si="7"/>
        <v>rokwzgl=0 i lp=250</v>
      </c>
      <c r="F34" s="27" t="str">
        <f t="shared" si="7"/>
        <v>rokwzgl=1 i lp=250</v>
      </c>
      <c r="G34" s="27" t="str">
        <f t="shared" si="7"/>
        <v>rokwzgl=2 i lp=250</v>
      </c>
      <c r="H34" s="27" t="str">
        <f t="shared" si="7"/>
        <v>rokwzgl=3 i lp=250</v>
      </c>
      <c r="I34" s="27" t="str">
        <f t="shared" si="7"/>
        <v>rokwzgl=4 i lp=250</v>
      </c>
      <c r="J34" s="27" t="str">
        <f t="shared" si="7"/>
        <v>rokwzgl=5 i lp=250</v>
      </c>
      <c r="K34" s="27" t="str">
        <f t="shared" si="7"/>
        <v>rokwzgl=6 i lp=250</v>
      </c>
      <c r="L34" s="27" t="str">
        <f t="shared" si="7"/>
        <v>rokwzgl=7 i lp=250</v>
      </c>
      <c r="M34" s="27" t="str">
        <f t="shared" si="7"/>
        <v>rokwzgl=8 i lp=250</v>
      </c>
      <c r="N34" s="27" t="str">
        <f t="shared" si="8"/>
        <v>rokwzgl=9 i lp=250</v>
      </c>
      <c r="O34" s="27" t="str">
        <f t="shared" si="8"/>
        <v>rokwzgl=10 i lp=250</v>
      </c>
      <c r="P34" s="27" t="str">
        <f t="shared" si="8"/>
        <v>rokwzgl=11 i lp=250</v>
      </c>
      <c r="Q34" s="27" t="str">
        <f t="shared" si="8"/>
        <v>rokwzgl=12 i lp=250</v>
      </c>
      <c r="R34" s="27" t="str">
        <f t="shared" si="8"/>
        <v>rokwzgl=13 i lp=250</v>
      </c>
      <c r="S34" s="27" t="str">
        <f t="shared" si="8"/>
        <v>rokwzgl=14 i lp=250</v>
      </c>
      <c r="T34" s="27" t="str">
        <f t="shared" si="8"/>
        <v>rokwzgl=15 i lp=250</v>
      </c>
      <c r="U34" s="27" t="str">
        <f t="shared" si="8"/>
        <v>rokwzgl=16 i lp=250</v>
      </c>
      <c r="V34" s="27" t="str">
        <f t="shared" si="8"/>
        <v>rokwzgl=17 i lp=250</v>
      </c>
      <c r="W34" s="27" t="str">
        <f t="shared" si="8"/>
        <v>rokwzgl=18 i lp=250</v>
      </c>
      <c r="X34" s="27" t="str">
        <f t="shared" si="9"/>
        <v>rokwzgl=19 i lp=250</v>
      </c>
      <c r="Y34" s="27" t="str">
        <f t="shared" si="9"/>
        <v>rokwzgl=20 i lp=250</v>
      </c>
      <c r="Z34" s="27" t="str">
        <f t="shared" si="9"/>
        <v>rokwzgl=21 i lp=250</v>
      </c>
      <c r="AA34" s="27" t="str">
        <f t="shared" si="9"/>
        <v>rokwzgl=22 i lp=250</v>
      </c>
      <c r="AB34" s="27" t="str">
        <f t="shared" si="9"/>
        <v>rokwzgl=23 i lp=250</v>
      </c>
      <c r="AC34" s="27" t="str">
        <f t="shared" si="9"/>
        <v>rokwzgl=24 i lp=250</v>
      </c>
      <c r="AD34" s="27" t="str">
        <f t="shared" si="9"/>
        <v>rokwzgl=25 i lp=250</v>
      </c>
      <c r="AE34" s="27" t="str">
        <f t="shared" si="9"/>
        <v>rokwzgl=26 i lp=250</v>
      </c>
      <c r="AF34" s="27" t="str">
        <f t="shared" si="9"/>
        <v>rokwzgl=27 i lp=250</v>
      </c>
      <c r="AG34" s="27" t="str">
        <f t="shared" si="9"/>
        <v>rokwzgl=28 i lp=250</v>
      </c>
      <c r="AH34" s="27" t="str">
        <f t="shared" si="9"/>
        <v>rokwzgl=29 i lp=250</v>
      </c>
    </row>
    <row r="35" spans="1:34">
      <c r="A35" s="26">
        <v>260</v>
      </c>
      <c r="B35" s="26">
        <v>4.3</v>
      </c>
      <c r="C35" s="27" t="s">
        <v>89</v>
      </c>
      <c r="D35" s="27" t="str">
        <f t="shared" si="7"/>
        <v>rokwzgl=0 i lp=260</v>
      </c>
      <c r="E35" s="27" t="str">
        <f t="shared" si="7"/>
        <v>rokwzgl=0 i lp=260</v>
      </c>
      <c r="F35" s="27" t="str">
        <f t="shared" si="7"/>
        <v>rokwzgl=1 i lp=260</v>
      </c>
      <c r="G35" s="27" t="str">
        <f t="shared" si="7"/>
        <v>rokwzgl=2 i lp=260</v>
      </c>
      <c r="H35" s="27" t="str">
        <f t="shared" si="7"/>
        <v>rokwzgl=3 i lp=260</v>
      </c>
      <c r="I35" s="27" t="str">
        <f t="shared" si="7"/>
        <v>rokwzgl=4 i lp=260</v>
      </c>
      <c r="J35" s="27" t="str">
        <f t="shared" si="7"/>
        <v>rokwzgl=5 i lp=260</v>
      </c>
      <c r="K35" s="27" t="str">
        <f t="shared" si="7"/>
        <v>rokwzgl=6 i lp=260</v>
      </c>
      <c r="L35" s="27" t="str">
        <f t="shared" si="7"/>
        <v>rokwzgl=7 i lp=260</v>
      </c>
      <c r="M35" s="27" t="str">
        <f t="shared" si="7"/>
        <v>rokwzgl=8 i lp=260</v>
      </c>
      <c r="N35" s="27" t="str">
        <f t="shared" si="8"/>
        <v>rokwzgl=9 i lp=260</v>
      </c>
      <c r="O35" s="27" t="str">
        <f t="shared" si="8"/>
        <v>rokwzgl=10 i lp=260</v>
      </c>
      <c r="P35" s="27" t="str">
        <f t="shared" si="8"/>
        <v>rokwzgl=11 i lp=260</v>
      </c>
      <c r="Q35" s="27" t="str">
        <f t="shared" si="8"/>
        <v>rokwzgl=12 i lp=260</v>
      </c>
      <c r="R35" s="27" t="str">
        <f t="shared" si="8"/>
        <v>rokwzgl=13 i lp=260</v>
      </c>
      <c r="S35" s="27" t="str">
        <f t="shared" si="8"/>
        <v>rokwzgl=14 i lp=260</v>
      </c>
      <c r="T35" s="27" t="str">
        <f t="shared" si="8"/>
        <v>rokwzgl=15 i lp=260</v>
      </c>
      <c r="U35" s="27" t="str">
        <f t="shared" si="8"/>
        <v>rokwzgl=16 i lp=260</v>
      </c>
      <c r="V35" s="27" t="str">
        <f t="shared" si="8"/>
        <v>rokwzgl=17 i lp=260</v>
      </c>
      <c r="W35" s="27" t="str">
        <f t="shared" si="8"/>
        <v>rokwzgl=18 i lp=260</v>
      </c>
      <c r="X35" s="27" t="str">
        <f t="shared" si="9"/>
        <v>rokwzgl=19 i lp=260</v>
      </c>
      <c r="Y35" s="27" t="str">
        <f t="shared" si="9"/>
        <v>rokwzgl=20 i lp=260</v>
      </c>
      <c r="Z35" s="27" t="str">
        <f t="shared" si="9"/>
        <v>rokwzgl=21 i lp=260</v>
      </c>
      <c r="AA35" s="27" t="str">
        <f t="shared" si="9"/>
        <v>rokwzgl=22 i lp=260</v>
      </c>
      <c r="AB35" s="27" t="str">
        <f t="shared" si="9"/>
        <v>rokwzgl=23 i lp=260</v>
      </c>
      <c r="AC35" s="27" t="str">
        <f t="shared" si="9"/>
        <v>rokwzgl=24 i lp=260</v>
      </c>
      <c r="AD35" s="27" t="str">
        <f t="shared" si="9"/>
        <v>rokwzgl=25 i lp=260</v>
      </c>
      <c r="AE35" s="27" t="str">
        <f t="shared" si="9"/>
        <v>rokwzgl=26 i lp=260</v>
      </c>
      <c r="AF35" s="27" t="str">
        <f t="shared" si="9"/>
        <v>rokwzgl=27 i lp=260</v>
      </c>
      <c r="AG35" s="27" t="str">
        <f t="shared" si="9"/>
        <v>rokwzgl=28 i lp=260</v>
      </c>
      <c r="AH35" s="27" t="str">
        <f t="shared" si="9"/>
        <v>rokwzgl=29 i lp=260</v>
      </c>
    </row>
    <row r="36" spans="1:34">
      <c r="A36" s="26">
        <v>270</v>
      </c>
      <c r="B36" s="26" t="s">
        <v>90</v>
      </c>
      <c r="C36" s="27" t="s">
        <v>88</v>
      </c>
      <c r="D36" s="27" t="str">
        <f t="shared" si="7"/>
        <v>rokwzgl=0 i lp=270</v>
      </c>
      <c r="E36" s="27" t="str">
        <f t="shared" si="7"/>
        <v>rokwzgl=0 i lp=270</v>
      </c>
      <c r="F36" s="27" t="str">
        <f t="shared" si="7"/>
        <v>rokwzgl=1 i lp=270</v>
      </c>
      <c r="G36" s="27" t="str">
        <f t="shared" si="7"/>
        <v>rokwzgl=2 i lp=270</v>
      </c>
      <c r="H36" s="27" t="str">
        <f t="shared" si="7"/>
        <v>rokwzgl=3 i lp=270</v>
      </c>
      <c r="I36" s="27" t="str">
        <f t="shared" si="7"/>
        <v>rokwzgl=4 i lp=270</v>
      </c>
      <c r="J36" s="27" t="str">
        <f t="shared" si="7"/>
        <v>rokwzgl=5 i lp=270</v>
      </c>
      <c r="K36" s="27" t="str">
        <f t="shared" si="7"/>
        <v>rokwzgl=6 i lp=270</v>
      </c>
      <c r="L36" s="27" t="str">
        <f t="shared" si="7"/>
        <v>rokwzgl=7 i lp=270</v>
      </c>
      <c r="M36" s="27" t="str">
        <f t="shared" si="7"/>
        <v>rokwzgl=8 i lp=270</v>
      </c>
      <c r="N36" s="27" t="str">
        <f t="shared" si="8"/>
        <v>rokwzgl=9 i lp=270</v>
      </c>
      <c r="O36" s="27" t="str">
        <f t="shared" si="8"/>
        <v>rokwzgl=10 i lp=270</v>
      </c>
      <c r="P36" s="27" t="str">
        <f t="shared" si="8"/>
        <v>rokwzgl=11 i lp=270</v>
      </c>
      <c r="Q36" s="27" t="str">
        <f t="shared" si="8"/>
        <v>rokwzgl=12 i lp=270</v>
      </c>
      <c r="R36" s="27" t="str">
        <f t="shared" si="8"/>
        <v>rokwzgl=13 i lp=270</v>
      </c>
      <c r="S36" s="27" t="str">
        <f t="shared" si="8"/>
        <v>rokwzgl=14 i lp=270</v>
      </c>
      <c r="T36" s="27" t="str">
        <f t="shared" si="8"/>
        <v>rokwzgl=15 i lp=270</v>
      </c>
      <c r="U36" s="27" t="str">
        <f t="shared" si="8"/>
        <v>rokwzgl=16 i lp=270</v>
      </c>
      <c r="V36" s="27" t="str">
        <f t="shared" si="8"/>
        <v>rokwzgl=17 i lp=270</v>
      </c>
      <c r="W36" s="27" t="str">
        <f t="shared" si="8"/>
        <v>rokwzgl=18 i lp=270</v>
      </c>
      <c r="X36" s="27" t="str">
        <f t="shared" si="9"/>
        <v>rokwzgl=19 i lp=270</v>
      </c>
      <c r="Y36" s="27" t="str">
        <f t="shared" si="9"/>
        <v>rokwzgl=20 i lp=270</v>
      </c>
      <c r="Z36" s="27" t="str">
        <f t="shared" si="9"/>
        <v>rokwzgl=21 i lp=270</v>
      </c>
      <c r="AA36" s="27" t="str">
        <f t="shared" si="9"/>
        <v>rokwzgl=22 i lp=270</v>
      </c>
      <c r="AB36" s="27" t="str">
        <f t="shared" si="9"/>
        <v>rokwzgl=23 i lp=270</v>
      </c>
      <c r="AC36" s="27" t="str">
        <f t="shared" si="9"/>
        <v>rokwzgl=24 i lp=270</v>
      </c>
      <c r="AD36" s="27" t="str">
        <f t="shared" si="9"/>
        <v>rokwzgl=25 i lp=270</v>
      </c>
      <c r="AE36" s="27" t="str">
        <f t="shared" si="9"/>
        <v>rokwzgl=26 i lp=270</v>
      </c>
      <c r="AF36" s="27" t="str">
        <f t="shared" si="9"/>
        <v>rokwzgl=27 i lp=270</v>
      </c>
      <c r="AG36" s="27" t="str">
        <f t="shared" si="9"/>
        <v>rokwzgl=28 i lp=270</v>
      </c>
      <c r="AH36" s="27" t="str">
        <f t="shared" si="9"/>
        <v>rokwzgl=29 i lp=270</v>
      </c>
    </row>
    <row r="37" spans="1:34">
      <c r="A37" s="26">
        <v>280</v>
      </c>
      <c r="B37" s="26">
        <v>4.4000000000000004</v>
      </c>
      <c r="C37" s="27" t="s">
        <v>91</v>
      </c>
      <c r="D37" s="27" t="str">
        <f t="shared" si="7"/>
        <v>rokwzgl=0 i lp=280</v>
      </c>
      <c r="E37" s="27" t="str">
        <f t="shared" si="7"/>
        <v>rokwzgl=0 i lp=280</v>
      </c>
      <c r="F37" s="27" t="str">
        <f t="shared" si="7"/>
        <v>rokwzgl=1 i lp=280</v>
      </c>
      <c r="G37" s="27" t="str">
        <f t="shared" si="7"/>
        <v>rokwzgl=2 i lp=280</v>
      </c>
      <c r="H37" s="27" t="str">
        <f t="shared" si="7"/>
        <v>rokwzgl=3 i lp=280</v>
      </c>
      <c r="I37" s="27" t="str">
        <f t="shared" si="7"/>
        <v>rokwzgl=4 i lp=280</v>
      </c>
      <c r="J37" s="27" t="str">
        <f t="shared" si="7"/>
        <v>rokwzgl=5 i lp=280</v>
      </c>
      <c r="K37" s="27" t="str">
        <f t="shared" si="7"/>
        <v>rokwzgl=6 i lp=280</v>
      </c>
      <c r="L37" s="27" t="str">
        <f t="shared" si="7"/>
        <v>rokwzgl=7 i lp=280</v>
      </c>
      <c r="M37" s="27" t="str">
        <f t="shared" si="7"/>
        <v>rokwzgl=8 i lp=280</v>
      </c>
      <c r="N37" s="27" t="str">
        <f t="shared" si="8"/>
        <v>rokwzgl=9 i lp=280</v>
      </c>
      <c r="O37" s="27" t="str">
        <f t="shared" si="8"/>
        <v>rokwzgl=10 i lp=280</v>
      </c>
      <c r="P37" s="27" t="str">
        <f t="shared" si="8"/>
        <v>rokwzgl=11 i lp=280</v>
      </c>
      <c r="Q37" s="27" t="str">
        <f t="shared" si="8"/>
        <v>rokwzgl=12 i lp=280</v>
      </c>
      <c r="R37" s="27" t="str">
        <f t="shared" si="8"/>
        <v>rokwzgl=13 i lp=280</v>
      </c>
      <c r="S37" s="27" t="str">
        <f t="shared" si="8"/>
        <v>rokwzgl=14 i lp=280</v>
      </c>
      <c r="T37" s="27" t="str">
        <f t="shared" si="8"/>
        <v>rokwzgl=15 i lp=280</v>
      </c>
      <c r="U37" s="27" t="str">
        <f t="shared" si="8"/>
        <v>rokwzgl=16 i lp=280</v>
      </c>
      <c r="V37" s="27" t="str">
        <f t="shared" si="8"/>
        <v>rokwzgl=17 i lp=280</v>
      </c>
      <c r="W37" s="27" t="str">
        <f t="shared" si="8"/>
        <v>rokwzgl=18 i lp=280</v>
      </c>
      <c r="X37" s="27" t="str">
        <f t="shared" si="9"/>
        <v>rokwzgl=19 i lp=280</v>
      </c>
      <c r="Y37" s="27" t="str">
        <f t="shared" si="9"/>
        <v>rokwzgl=20 i lp=280</v>
      </c>
      <c r="Z37" s="27" t="str">
        <f t="shared" si="9"/>
        <v>rokwzgl=21 i lp=280</v>
      </c>
      <c r="AA37" s="27" t="str">
        <f t="shared" si="9"/>
        <v>rokwzgl=22 i lp=280</v>
      </c>
      <c r="AB37" s="27" t="str">
        <f t="shared" si="9"/>
        <v>rokwzgl=23 i lp=280</v>
      </c>
      <c r="AC37" s="27" t="str">
        <f t="shared" si="9"/>
        <v>rokwzgl=24 i lp=280</v>
      </c>
      <c r="AD37" s="27" t="str">
        <f t="shared" si="9"/>
        <v>rokwzgl=25 i lp=280</v>
      </c>
      <c r="AE37" s="27" t="str">
        <f t="shared" si="9"/>
        <v>rokwzgl=26 i lp=280</v>
      </c>
      <c r="AF37" s="27" t="str">
        <f t="shared" si="9"/>
        <v>rokwzgl=27 i lp=280</v>
      </c>
      <c r="AG37" s="27" t="str">
        <f t="shared" si="9"/>
        <v>rokwzgl=28 i lp=280</v>
      </c>
      <c r="AH37" s="27" t="str">
        <f t="shared" si="9"/>
        <v>rokwzgl=29 i lp=280</v>
      </c>
    </row>
    <row r="38" spans="1:34">
      <c r="A38" s="26">
        <v>290</v>
      </c>
      <c r="B38" s="26" t="s">
        <v>92</v>
      </c>
      <c r="C38" s="27" t="s">
        <v>88</v>
      </c>
      <c r="D38" s="27" t="str">
        <f t="shared" si="7"/>
        <v>rokwzgl=0 i lp=290</v>
      </c>
      <c r="E38" s="27" t="str">
        <f t="shared" si="7"/>
        <v>rokwzgl=0 i lp=290</v>
      </c>
      <c r="F38" s="27" t="str">
        <f t="shared" si="7"/>
        <v>rokwzgl=1 i lp=290</v>
      </c>
      <c r="G38" s="27" t="str">
        <f t="shared" si="7"/>
        <v>rokwzgl=2 i lp=290</v>
      </c>
      <c r="H38" s="27" t="str">
        <f t="shared" si="7"/>
        <v>rokwzgl=3 i lp=290</v>
      </c>
      <c r="I38" s="27" t="str">
        <f t="shared" si="7"/>
        <v>rokwzgl=4 i lp=290</v>
      </c>
      <c r="J38" s="27" t="str">
        <f t="shared" si="7"/>
        <v>rokwzgl=5 i lp=290</v>
      </c>
      <c r="K38" s="27" t="str">
        <f t="shared" si="7"/>
        <v>rokwzgl=6 i lp=290</v>
      </c>
      <c r="L38" s="27" t="str">
        <f t="shared" si="7"/>
        <v>rokwzgl=7 i lp=290</v>
      </c>
      <c r="M38" s="27" t="str">
        <f t="shared" si="7"/>
        <v>rokwzgl=8 i lp=290</v>
      </c>
      <c r="N38" s="27" t="str">
        <f t="shared" si="8"/>
        <v>rokwzgl=9 i lp=290</v>
      </c>
      <c r="O38" s="27" t="str">
        <f t="shared" si="8"/>
        <v>rokwzgl=10 i lp=290</v>
      </c>
      <c r="P38" s="27" t="str">
        <f t="shared" si="8"/>
        <v>rokwzgl=11 i lp=290</v>
      </c>
      <c r="Q38" s="27" t="str">
        <f t="shared" si="8"/>
        <v>rokwzgl=12 i lp=290</v>
      </c>
      <c r="R38" s="27" t="str">
        <f t="shared" si="8"/>
        <v>rokwzgl=13 i lp=290</v>
      </c>
      <c r="S38" s="27" t="str">
        <f t="shared" si="8"/>
        <v>rokwzgl=14 i lp=290</v>
      </c>
      <c r="T38" s="27" t="str">
        <f t="shared" si="8"/>
        <v>rokwzgl=15 i lp=290</v>
      </c>
      <c r="U38" s="27" t="str">
        <f t="shared" si="8"/>
        <v>rokwzgl=16 i lp=290</v>
      </c>
      <c r="V38" s="27" t="str">
        <f t="shared" si="8"/>
        <v>rokwzgl=17 i lp=290</v>
      </c>
      <c r="W38" s="27" t="str">
        <f t="shared" si="8"/>
        <v>rokwzgl=18 i lp=290</v>
      </c>
      <c r="X38" s="27" t="str">
        <f t="shared" si="9"/>
        <v>rokwzgl=19 i lp=290</v>
      </c>
      <c r="Y38" s="27" t="str">
        <f t="shared" si="9"/>
        <v>rokwzgl=20 i lp=290</v>
      </c>
      <c r="Z38" s="27" t="str">
        <f t="shared" si="9"/>
        <v>rokwzgl=21 i lp=290</v>
      </c>
      <c r="AA38" s="27" t="str">
        <f t="shared" si="9"/>
        <v>rokwzgl=22 i lp=290</v>
      </c>
      <c r="AB38" s="27" t="str">
        <f t="shared" si="9"/>
        <v>rokwzgl=23 i lp=290</v>
      </c>
      <c r="AC38" s="27" t="str">
        <f t="shared" si="9"/>
        <v>rokwzgl=24 i lp=290</v>
      </c>
      <c r="AD38" s="27" t="str">
        <f t="shared" si="9"/>
        <v>rokwzgl=25 i lp=290</v>
      </c>
      <c r="AE38" s="27" t="str">
        <f t="shared" si="9"/>
        <v>rokwzgl=26 i lp=290</v>
      </c>
      <c r="AF38" s="27" t="str">
        <f t="shared" si="9"/>
        <v>rokwzgl=27 i lp=290</v>
      </c>
      <c r="AG38" s="27" t="str">
        <f t="shared" si="9"/>
        <v>rokwzgl=28 i lp=290</v>
      </c>
      <c r="AH38" s="27" t="str">
        <f t="shared" si="9"/>
        <v>rokwzgl=29 i lp=290</v>
      </c>
    </row>
    <row r="39" spans="1:34">
      <c r="A39" s="26">
        <v>300</v>
      </c>
      <c r="B39" s="26">
        <v>5</v>
      </c>
      <c r="C39" s="27" t="s">
        <v>93</v>
      </c>
      <c r="D39" s="27" t="str">
        <f t="shared" si="7"/>
        <v>rokwzgl=0 i lp=300</v>
      </c>
      <c r="E39" s="27" t="str">
        <f t="shared" si="7"/>
        <v>rokwzgl=0 i lp=300</v>
      </c>
      <c r="F39" s="27" t="str">
        <f t="shared" si="7"/>
        <v>rokwzgl=1 i lp=300</v>
      </c>
      <c r="G39" s="27" t="str">
        <f t="shared" si="7"/>
        <v>rokwzgl=2 i lp=300</v>
      </c>
      <c r="H39" s="27" t="str">
        <f t="shared" si="7"/>
        <v>rokwzgl=3 i lp=300</v>
      </c>
      <c r="I39" s="27" t="str">
        <f t="shared" si="7"/>
        <v>rokwzgl=4 i lp=300</v>
      </c>
      <c r="J39" s="27" t="str">
        <f t="shared" si="7"/>
        <v>rokwzgl=5 i lp=300</v>
      </c>
      <c r="K39" s="27" t="str">
        <f t="shared" si="7"/>
        <v>rokwzgl=6 i lp=300</v>
      </c>
      <c r="L39" s="27" t="str">
        <f t="shared" si="7"/>
        <v>rokwzgl=7 i lp=300</v>
      </c>
      <c r="M39" s="27" t="str">
        <f t="shared" si="7"/>
        <v>rokwzgl=8 i lp=300</v>
      </c>
      <c r="N39" s="27" t="str">
        <f t="shared" si="8"/>
        <v>rokwzgl=9 i lp=300</v>
      </c>
      <c r="O39" s="27" t="str">
        <f t="shared" si="8"/>
        <v>rokwzgl=10 i lp=300</v>
      </c>
      <c r="P39" s="27" t="str">
        <f t="shared" si="8"/>
        <v>rokwzgl=11 i lp=300</v>
      </c>
      <c r="Q39" s="27" t="str">
        <f t="shared" si="8"/>
        <v>rokwzgl=12 i lp=300</v>
      </c>
      <c r="R39" s="27" t="str">
        <f t="shared" si="8"/>
        <v>rokwzgl=13 i lp=300</v>
      </c>
      <c r="S39" s="27" t="str">
        <f t="shared" si="8"/>
        <v>rokwzgl=14 i lp=300</v>
      </c>
      <c r="T39" s="27" t="str">
        <f t="shared" si="8"/>
        <v>rokwzgl=15 i lp=300</v>
      </c>
      <c r="U39" s="27" t="str">
        <f t="shared" si="8"/>
        <v>rokwzgl=16 i lp=300</v>
      </c>
      <c r="V39" s="27" t="str">
        <f t="shared" si="8"/>
        <v>rokwzgl=17 i lp=300</v>
      </c>
      <c r="W39" s="27" t="str">
        <f t="shared" si="8"/>
        <v>rokwzgl=18 i lp=300</v>
      </c>
      <c r="X39" s="27" t="str">
        <f t="shared" si="9"/>
        <v>rokwzgl=19 i lp=300</v>
      </c>
      <c r="Y39" s="27" t="str">
        <f t="shared" si="9"/>
        <v>rokwzgl=20 i lp=300</v>
      </c>
      <c r="Z39" s="27" t="str">
        <f t="shared" si="9"/>
        <v>rokwzgl=21 i lp=300</v>
      </c>
      <c r="AA39" s="27" t="str">
        <f t="shared" si="9"/>
        <v>rokwzgl=22 i lp=300</v>
      </c>
      <c r="AB39" s="27" t="str">
        <f t="shared" si="9"/>
        <v>rokwzgl=23 i lp=300</v>
      </c>
      <c r="AC39" s="27" t="str">
        <f t="shared" si="9"/>
        <v>rokwzgl=24 i lp=300</v>
      </c>
      <c r="AD39" s="27" t="str">
        <f t="shared" si="9"/>
        <v>rokwzgl=25 i lp=300</v>
      </c>
      <c r="AE39" s="27" t="str">
        <f t="shared" si="9"/>
        <v>rokwzgl=26 i lp=300</v>
      </c>
      <c r="AF39" s="27" t="str">
        <f t="shared" si="9"/>
        <v>rokwzgl=27 i lp=300</v>
      </c>
      <c r="AG39" s="27" t="str">
        <f t="shared" si="9"/>
        <v>rokwzgl=28 i lp=300</v>
      </c>
      <c r="AH39" s="27" t="str">
        <f t="shared" si="9"/>
        <v>rokwzgl=29 i lp=300</v>
      </c>
    </row>
    <row r="40" spans="1:34">
      <c r="A40" s="26">
        <v>310</v>
      </c>
      <c r="B40" s="26">
        <v>5.0999999999999996</v>
      </c>
      <c r="C40" s="27" t="s">
        <v>94</v>
      </c>
      <c r="D40" s="27" t="str">
        <f t="shared" ref="D40:M49" si="10">+"rokwzgl="&amp;D$9&amp;" i lp="&amp;$A40</f>
        <v>rokwzgl=0 i lp=310</v>
      </c>
      <c r="E40" s="27" t="str">
        <f t="shared" si="10"/>
        <v>rokwzgl=0 i lp=310</v>
      </c>
      <c r="F40" s="27" t="str">
        <f t="shared" si="10"/>
        <v>rokwzgl=1 i lp=310</v>
      </c>
      <c r="G40" s="27" t="str">
        <f t="shared" si="10"/>
        <v>rokwzgl=2 i lp=310</v>
      </c>
      <c r="H40" s="27" t="str">
        <f t="shared" si="10"/>
        <v>rokwzgl=3 i lp=310</v>
      </c>
      <c r="I40" s="27" t="str">
        <f t="shared" si="10"/>
        <v>rokwzgl=4 i lp=310</v>
      </c>
      <c r="J40" s="27" t="str">
        <f t="shared" si="10"/>
        <v>rokwzgl=5 i lp=310</v>
      </c>
      <c r="K40" s="27" t="str">
        <f t="shared" si="10"/>
        <v>rokwzgl=6 i lp=310</v>
      </c>
      <c r="L40" s="27" t="str">
        <f t="shared" si="10"/>
        <v>rokwzgl=7 i lp=310</v>
      </c>
      <c r="M40" s="27" t="str">
        <f t="shared" si="10"/>
        <v>rokwzgl=8 i lp=310</v>
      </c>
      <c r="N40" s="27" t="str">
        <f t="shared" ref="N40:W49" si="11">+"rokwzgl="&amp;N$9&amp;" i lp="&amp;$A40</f>
        <v>rokwzgl=9 i lp=310</v>
      </c>
      <c r="O40" s="27" t="str">
        <f t="shared" si="11"/>
        <v>rokwzgl=10 i lp=310</v>
      </c>
      <c r="P40" s="27" t="str">
        <f t="shared" si="11"/>
        <v>rokwzgl=11 i lp=310</v>
      </c>
      <c r="Q40" s="27" t="str">
        <f t="shared" si="11"/>
        <v>rokwzgl=12 i lp=310</v>
      </c>
      <c r="R40" s="27" t="str">
        <f t="shared" si="11"/>
        <v>rokwzgl=13 i lp=310</v>
      </c>
      <c r="S40" s="27" t="str">
        <f t="shared" si="11"/>
        <v>rokwzgl=14 i lp=310</v>
      </c>
      <c r="T40" s="27" t="str">
        <f t="shared" si="11"/>
        <v>rokwzgl=15 i lp=310</v>
      </c>
      <c r="U40" s="27" t="str">
        <f t="shared" si="11"/>
        <v>rokwzgl=16 i lp=310</v>
      </c>
      <c r="V40" s="27" t="str">
        <f t="shared" si="11"/>
        <v>rokwzgl=17 i lp=310</v>
      </c>
      <c r="W40" s="27" t="str">
        <f t="shared" si="11"/>
        <v>rokwzgl=18 i lp=310</v>
      </c>
      <c r="X40" s="27" t="str">
        <f t="shared" ref="X40:AH49" si="12">+"rokwzgl="&amp;X$9&amp;" i lp="&amp;$A40</f>
        <v>rokwzgl=19 i lp=310</v>
      </c>
      <c r="Y40" s="27" t="str">
        <f t="shared" si="12"/>
        <v>rokwzgl=20 i lp=310</v>
      </c>
      <c r="Z40" s="27" t="str">
        <f t="shared" si="12"/>
        <v>rokwzgl=21 i lp=310</v>
      </c>
      <c r="AA40" s="27" t="str">
        <f t="shared" si="12"/>
        <v>rokwzgl=22 i lp=310</v>
      </c>
      <c r="AB40" s="27" t="str">
        <f t="shared" si="12"/>
        <v>rokwzgl=23 i lp=310</v>
      </c>
      <c r="AC40" s="27" t="str">
        <f t="shared" si="12"/>
        <v>rokwzgl=24 i lp=310</v>
      </c>
      <c r="AD40" s="27" t="str">
        <f t="shared" si="12"/>
        <v>rokwzgl=25 i lp=310</v>
      </c>
      <c r="AE40" s="27" t="str">
        <f t="shared" si="12"/>
        <v>rokwzgl=26 i lp=310</v>
      </c>
      <c r="AF40" s="27" t="str">
        <f t="shared" si="12"/>
        <v>rokwzgl=27 i lp=310</v>
      </c>
      <c r="AG40" s="27" t="str">
        <f t="shared" si="12"/>
        <v>rokwzgl=28 i lp=310</v>
      </c>
      <c r="AH40" s="27" t="str">
        <f t="shared" si="12"/>
        <v>rokwzgl=29 i lp=310</v>
      </c>
    </row>
    <row r="41" spans="1:34">
      <c r="A41" s="26">
        <v>320</v>
      </c>
      <c r="B41" s="26" t="s">
        <v>95</v>
      </c>
      <c r="C41" s="27" t="s">
        <v>96</v>
      </c>
      <c r="D41" s="27" t="str">
        <f t="shared" si="10"/>
        <v>rokwzgl=0 i lp=320</v>
      </c>
      <c r="E41" s="27" t="str">
        <f t="shared" si="10"/>
        <v>rokwzgl=0 i lp=320</v>
      </c>
      <c r="F41" s="27" t="str">
        <f t="shared" si="10"/>
        <v>rokwzgl=1 i lp=320</v>
      </c>
      <c r="G41" s="27" t="str">
        <f t="shared" si="10"/>
        <v>rokwzgl=2 i lp=320</v>
      </c>
      <c r="H41" s="27" t="str">
        <f t="shared" si="10"/>
        <v>rokwzgl=3 i lp=320</v>
      </c>
      <c r="I41" s="27" t="str">
        <f t="shared" si="10"/>
        <v>rokwzgl=4 i lp=320</v>
      </c>
      <c r="J41" s="27" t="str">
        <f t="shared" si="10"/>
        <v>rokwzgl=5 i lp=320</v>
      </c>
      <c r="K41" s="27" t="str">
        <f t="shared" si="10"/>
        <v>rokwzgl=6 i lp=320</v>
      </c>
      <c r="L41" s="27" t="str">
        <f t="shared" si="10"/>
        <v>rokwzgl=7 i lp=320</v>
      </c>
      <c r="M41" s="27" t="str">
        <f t="shared" si="10"/>
        <v>rokwzgl=8 i lp=320</v>
      </c>
      <c r="N41" s="27" t="str">
        <f t="shared" si="11"/>
        <v>rokwzgl=9 i lp=320</v>
      </c>
      <c r="O41" s="27" t="str">
        <f t="shared" si="11"/>
        <v>rokwzgl=10 i lp=320</v>
      </c>
      <c r="P41" s="27" t="str">
        <f t="shared" si="11"/>
        <v>rokwzgl=11 i lp=320</v>
      </c>
      <c r="Q41" s="27" t="str">
        <f t="shared" si="11"/>
        <v>rokwzgl=12 i lp=320</v>
      </c>
      <c r="R41" s="27" t="str">
        <f t="shared" si="11"/>
        <v>rokwzgl=13 i lp=320</v>
      </c>
      <c r="S41" s="27" t="str">
        <f t="shared" si="11"/>
        <v>rokwzgl=14 i lp=320</v>
      </c>
      <c r="T41" s="27" t="str">
        <f t="shared" si="11"/>
        <v>rokwzgl=15 i lp=320</v>
      </c>
      <c r="U41" s="27" t="str">
        <f t="shared" si="11"/>
        <v>rokwzgl=16 i lp=320</v>
      </c>
      <c r="V41" s="27" t="str">
        <f t="shared" si="11"/>
        <v>rokwzgl=17 i lp=320</v>
      </c>
      <c r="W41" s="27" t="str">
        <f t="shared" si="11"/>
        <v>rokwzgl=18 i lp=320</v>
      </c>
      <c r="X41" s="27" t="str">
        <f t="shared" si="12"/>
        <v>rokwzgl=19 i lp=320</v>
      </c>
      <c r="Y41" s="27" t="str">
        <f t="shared" si="12"/>
        <v>rokwzgl=20 i lp=320</v>
      </c>
      <c r="Z41" s="27" t="str">
        <f t="shared" si="12"/>
        <v>rokwzgl=21 i lp=320</v>
      </c>
      <c r="AA41" s="27" t="str">
        <f t="shared" si="12"/>
        <v>rokwzgl=22 i lp=320</v>
      </c>
      <c r="AB41" s="27" t="str">
        <f t="shared" si="12"/>
        <v>rokwzgl=23 i lp=320</v>
      </c>
      <c r="AC41" s="27" t="str">
        <f t="shared" si="12"/>
        <v>rokwzgl=24 i lp=320</v>
      </c>
      <c r="AD41" s="27" t="str">
        <f t="shared" si="12"/>
        <v>rokwzgl=25 i lp=320</v>
      </c>
      <c r="AE41" s="27" t="str">
        <f t="shared" si="12"/>
        <v>rokwzgl=26 i lp=320</v>
      </c>
      <c r="AF41" s="27" t="str">
        <f t="shared" si="12"/>
        <v>rokwzgl=27 i lp=320</v>
      </c>
      <c r="AG41" s="27" t="str">
        <f t="shared" si="12"/>
        <v>rokwzgl=28 i lp=320</v>
      </c>
      <c r="AH41" s="27" t="str">
        <f t="shared" si="12"/>
        <v>rokwzgl=29 i lp=320</v>
      </c>
    </row>
    <row r="42" spans="1:34">
      <c r="A42" s="26">
        <v>330</v>
      </c>
      <c r="B42" s="26" t="s">
        <v>97</v>
      </c>
      <c r="C42" s="27" t="s">
        <v>98</v>
      </c>
      <c r="D42" s="27" t="str">
        <f t="shared" si="10"/>
        <v>rokwzgl=0 i lp=330</v>
      </c>
      <c r="E42" s="27" t="str">
        <f t="shared" si="10"/>
        <v>rokwzgl=0 i lp=330</v>
      </c>
      <c r="F42" s="27" t="str">
        <f t="shared" si="10"/>
        <v>rokwzgl=1 i lp=330</v>
      </c>
      <c r="G42" s="27" t="str">
        <f t="shared" si="10"/>
        <v>rokwzgl=2 i lp=330</v>
      </c>
      <c r="H42" s="27" t="str">
        <f t="shared" si="10"/>
        <v>rokwzgl=3 i lp=330</v>
      </c>
      <c r="I42" s="27" t="str">
        <f t="shared" si="10"/>
        <v>rokwzgl=4 i lp=330</v>
      </c>
      <c r="J42" s="27" t="str">
        <f t="shared" si="10"/>
        <v>rokwzgl=5 i lp=330</v>
      </c>
      <c r="K42" s="27" t="str">
        <f t="shared" si="10"/>
        <v>rokwzgl=6 i lp=330</v>
      </c>
      <c r="L42" s="27" t="str">
        <f t="shared" si="10"/>
        <v>rokwzgl=7 i lp=330</v>
      </c>
      <c r="M42" s="27" t="str">
        <f t="shared" si="10"/>
        <v>rokwzgl=8 i lp=330</v>
      </c>
      <c r="N42" s="27" t="str">
        <f t="shared" si="11"/>
        <v>rokwzgl=9 i lp=330</v>
      </c>
      <c r="O42" s="27" t="str">
        <f t="shared" si="11"/>
        <v>rokwzgl=10 i lp=330</v>
      </c>
      <c r="P42" s="27" t="str">
        <f t="shared" si="11"/>
        <v>rokwzgl=11 i lp=330</v>
      </c>
      <c r="Q42" s="27" t="str">
        <f t="shared" si="11"/>
        <v>rokwzgl=12 i lp=330</v>
      </c>
      <c r="R42" s="27" t="str">
        <f t="shared" si="11"/>
        <v>rokwzgl=13 i lp=330</v>
      </c>
      <c r="S42" s="27" t="str">
        <f t="shared" si="11"/>
        <v>rokwzgl=14 i lp=330</v>
      </c>
      <c r="T42" s="27" t="str">
        <f t="shared" si="11"/>
        <v>rokwzgl=15 i lp=330</v>
      </c>
      <c r="U42" s="27" t="str">
        <f t="shared" si="11"/>
        <v>rokwzgl=16 i lp=330</v>
      </c>
      <c r="V42" s="27" t="str">
        <f t="shared" si="11"/>
        <v>rokwzgl=17 i lp=330</v>
      </c>
      <c r="W42" s="27" t="str">
        <f t="shared" si="11"/>
        <v>rokwzgl=18 i lp=330</v>
      </c>
      <c r="X42" s="27" t="str">
        <f t="shared" si="12"/>
        <v>rokwzgl=19 i lp=330</v>
      </c>
      <c r="Y42" s="27" t="str">
        <f t="shared" si="12"/>
        <v>rokwzgl=20 i lp=330</v>
      </c>
      <c r="Z42" s="27" t="str">
        <f t="shared" si="12"/>
        <v>rokwzgl=21 i lp=330</v>
      </c>
      <c r="AA42" s="27" t="str">
        <f t="shared" si="12"/>
        <v>rokwzgl=22 i lp=330</v>
      </c>
      <c r="AB42" s="27" t="str">
        <f t="shared" si="12"/>
        <v>rokwzgl=23 i lp=330</v>
      </c>
      <c r="AC42" s="27" t="str">
        <f t="shared" si="12"/>
        <v>rokwzgl=24 i lp=330</v>
      </c>
      <c r="AD42" s="27" t="str">
        <f t="shared" si="12"/>
        <v>rokwzgl=25 i lp=330</v>
      </c>
      <c r="AE42" s="27" t="str">
        <f t="shared" si="12"/>
        <v>rokwzgl=26 i lp=330</v>
      </c>
      <c r="AF42" s="27" t="str">
        <f t="shared" si="12"/>
        <v>rokwzgl=27 i lp=330</v>
      </c>
      <c r="AG42" s="27" t="str">
        <f t="shared" si="12"/>
        <v>rokwzgl=28 i lp=330</v>
      </c>
      <c r="AH42" s="27" t="str">
        <f t="shared" si="12"/>
        <v>rokwzgl=29 i lp=330</v>
      </c>
    </row>
    <row r="43" spans="1:34">
      <c r="A43" s="26">
        <v>340</v>
      </c>
      <c r="B43" s="26">
        <v>5.2</v>
      </c>
      <c r="C43" s="27" t="s">
        <v>99</v>
      </c>
      <c r="D43" s="27" t="str">
        <f t="shared" si="10"/>
        <v>rokwzgl=0 i lp=340</v>
      </c>
      <c r="E43" s="27" t="str">
        <f t="shared" si="10"/>
        <v>rokwzgl=0 i lp=340</v>
      </c>
      <c r="F43" s="27" t="str">
        <f t="shared" si="10"/>
        <v>rokwzgl=1 i lp=340</v>
      </c>
      <c r="G43" s="27" t="str">
        <f t="shared" si="10"/>
        <v>rokwzgl=2 i lp=340</v>
      </c>
      <c r="H43" s="27" t="str">
        <f t="shared" si="10"/>
        <v>rokwzgl=3 i lp=340</v>
      </c>
      <c r="I43" s="27" t="str">
        <f t="shared" si="10"/>
        <v>rokwzgl=4 i lp=340</v>
      </c>
      <c r="J43" s="27" t="str">
        <f t="shared" si="10"/>
        <v>rokwzgl=5 i lp=340</v>
      </c>
      <c r="K43" s="27" t="str">
        <f t="shared" si="10"/>
        <v>rokwzgl=6 i lp=340</v>
      </c>
      <c r="L43" s="27" t="str">
        <f t="shared" si="10"/>
        <v>rokwzgl=7 i lp=340</v>
      </c>
      <c r="M43" s="27" t="str">
        <f t="shared" si="10"/>
        <v>rokwzgl=8 i lp=340</v>
      </c>
      <c r="N43" s="27" t="str">
        <f t="shared" si="11"/>
        <v>rokwzgl=9 i lp=340</v>
      </c>
      <c r="O43" s="27" t="str">
        <f t="shared" si="11"/>
        <v>rokwzgl=10 i lp=340</v>
      </c>
      <c r="P43" s="27" t="str">
        <f t="shared" si="11"/>
        <v>rokwzgl=11 i lp=340</v>
      </c>
      <c r="Q43" s="27" t="str">
        <f t="shared" si="11"/>
        <v>rokwzgl=12 i lp=340</v>
      </c>
      <c r="R43" s="27" t="str">
        <f t="shared" si="11"/>
        <v>rokwzgl=13 i lp=340</v>
      </c>
      <c r="S43" s="27" t="str">
        <f t="shared" si="11"/>
        <v>rokwzgl=14 i lp=340</v>
      </c>
      <c r="T43" s="27" t="str">
        <f t="shared" si="11"/>
        <v>rokwzgl=15 i lp=340</v>
      </c>
      <c r="U43" s="27" t="str">
        <f t="shared" si="11"/>
        <v>rokwzgl=16 i lp=340</v>
      </c>
      <c r="V43" s="27" t="str">
        <f t="shared" si="11"/>
        <v>rokwzgl=17 i lp=340</v>
      </c>
      <c r="W43" s="27" t="str">
        <f t="shared" si="11"/>
        <v>rokwzgl=18 i lp=340</v>
      </c>
      <c r="X43" s="27" t="str">
        <f t="shared" si="12"/>
        <v>rokwzgl=19 i lp=340</v>
      </c>
      <c r="Y43" s="27" t="str">
        <f t="shared" si="12"/>
        <v>rokwzgl=20 i lp=340</v>
      </c>
      <c r="Z43" s="27" t="str">
        <f t="shared" si="12"/>
        <v>rokwzgl=21 i lp=340</v>
      </c>
      <c r="AA43" s="27" t="str">
        <f t="shared" si="12"/>
        <v>rokwzgl=22 i lp=340</v>
      </c>
      <c r="AB43" s="27" t="str">
        <f t="shared" si="12"/>
        <v>rokwzgl=23 i lp=340</v>
      </c>
      <c r="AC43" s="27" t="str">
        <f t="shared" si="12"/>
        <v>rokwzgl=24 i lp=340</v>
      </c>
      <c r="AD43" s="27" t="str">
        <f t="shared" si="12"/>
        <v>rokwzgl=25 i lp=340</v>
      </c>
      <c r="AE43" s="27" t="str">
        <f t="shared" si="12"/>
        <v>rokwzgl=26 i lp=340</v>
      </c>
      <c r="AF43" s="27" t="str">
        <f t="shared" si="12"/>
        <v>rokwzgl=27 i lp=340</v>
      </c>
      <c r="AG43" s="27" t="str">
        <f t="shared" si="12"/>
        <v>rokwzgl=28 i lp=340</v>
      </c>
      <c r="AH43" s="27" t="str">
        <f t="shared" si="12"/>
        <v>rokwzgl=29 i lp=340</v>
      </c>
    </row>
    <row r="44" spans="1:34">
      <c r="A44" s="26">
        <v>350</v>
      </c>
      <c r="B44" s="26">
        <v>6</v>
      </c>
      <c r="C44" s="27" t="s">
        <v>40</v>
      </c>
      <c r="D44" s="27" t="str">
        <f t="shared" si="10"/>
        <v>rokwzgl=0 i lp=350</v>
      </c>
      <c r="E44" s="27" t="str">
        <f t="shared" si="10"/>
        <v>rokwzgl=0 i lp=350</v>
      </c>
      <c r="F44" s="27" t="str">
        <f t="shared" si="10"/>
        <v>rokwzgl=1 i lp=350</v>
      </c>
      <c r="G44" s="27" t="str">
        <f t="shared" si="10"/>
        <v>rokwzgl=2 i lp=350</v>
      </c>
      <c r="H44" s="27" t="str">
        <f t="shared" si="10"/>
        <v>rokwzgl=3 i lp=350</v>
      </c>
      <c r="I44" s="27" t="str">
        <f t="shared" si="10"/>
        <v>rokwzgl=4 i lp=350</v>
      </c>
      <c r="J44" s="27" t="str">
        <f t="shared" si="10"/>
        <v>rokwzgl=5 i lp=350</v>
      </c>
      <c r="K44" s="27" t="str">
        <f t="shared" si="10"/>
        <v>rokwzgl=6 i lp=350</v>
      </c>
      <c r="L44" s="27" t="str">
        <f t="shared" si="10"/>
        <v>rokwzgl=7 i lp=350</v>
      </c>
      <c r="M44" s="27" t="str">
        <f t="shared" si="10"/>
        <v>rokwzgl=8 i lp=350</v>
      </c>
      <c r="N44" s="27" t="str">
        <f t="shared" si="11"/>
        <v>rokwzgl=9 i lp=350</v>
      </c>
      <c r="O44" s="27" t="str">
        <f t="shared" si="11"/>
        <v>rokwzgl=10 i lp=350</v>
      </c>
      <c r="P44" s="27" t="str">
        <f t="shared" si="11"/>
        <v>rokwzgl=11 i lp=350</v>
      </c>
      <c r="Q44" s="27" t="str">
        <f t="shared" si="11"/>
        <v>rokwzgl=12 i lp=350</v>
      </c>
      <c r="R44" s="27" t="str">
        <f t="shared" si="11"/>
        <v>rokwzgl=13 i lp=350</v>
      </c>
      <c r="S44" s="27" t="str">
        <f t="shared" si="11"/>
        <v>rokwzgl=14 i lp=350</v>
      </c>
      <c r="T44" s="27" t="str">
        <f t="shared" si="11"/>
        <v>rokwzgl=15 i lp=350</v>
      </c>
      <c r="U44" s="27" t="str">
        <f t="shared" si="11"/>
        <v>rokwzgl=16 i lp=350</v>
      </c>
      <c r="V44" s="27" t="str">
        <f t="shared" si="11"/>
        <v>rokwzgl=17 i lp=350</v>
      </c>
      <c r="W44" s="27" t="str">
        <f t="shared" si="11"/>
        <v>rokwzgl=18 i lp=350</v>
      </c>
      <c r="X44" s="27" t="str">
        <f t="shared" si="12"/>
        <v>rokwzgl=19 i lp=350</v>
      </c>
      <c r="Y44" s="27" t="str">
        <f t="shared" si="12"/>
        <v>rokwzgl=20 i lp=350</v>
      </c>
      <c r="Z44" s="27" t="str">
        <f t="shared" si="12"/>
        <v>rokwzgl=21 i lp=350</v>
      </c>
      <c r="AA44" s="27" t="str">
        <f t="shared" si="12"/>
        <v>rokwzgl=22 i lp=350</v>
      </c>
      <c r="AB44" s="27" t="str">
        <f t="shared" si="12"/>
        <v>rokwzgl=23 i lp=350</v>
      </c>
      <c r="AC44" s="27" t="str">
        <f t="shared" si="12"/>
        <v>rokwzgl=24 i lp=350</v>
      </c>
      <c r="AD44" s="27" t="str">
        <f t="shared" si="12"/>
        <v>rokwzgl=25 i lp=350</v>
      </c>
      <c r="AE44" s="27" t="str">
        <f t="shared" si="12"/>
        <v>rokwzgl=26 i lp=350</v>
      </c>
      <c r="AF44" s="27" t="str">
        <f t="shared" si="12"/>
        <v>rokwzgl=27 i lp=350</v>
      </c>
      <c r="AG44" s="27" t="str">
        <f t="shared" si="12"/>
        <v>rokwzgl=28 i lp=350</v>
      </c>
      <c r="AH44" s="27" t="str">
        <f t="shared" si="12"/>
        <v>rokwzgl=29 i lp=350</v>
      </c>
    </row>
    <row r="45" spans="1:34">
      <c r="A45" s="26">
        <v>360</v>
      </c>
      <c r="B45" s="26">
        <v>6.1</v>
      </c>
      <c r="C45" s="27" t="s">
        <v>100</v>
      </c>
      <c r="D45" s="27" t="str">
        <f t="shared" si="10"/>
        <v>rokwzgl=0 i lp=360</v>
      </c>
      <c r="E45" s="27" t="str">
        <f t="shared" si="10"/>
        <v>rokwzgl=0 i lp=360</v>
      </c>
      <c r="F45" s="27" t="str">
        <f t="shared" si="10"/>
        <v>rokwzgl=1 i lp=360</v>
      </c>
      <c r="G45" s="27" t="str">
        <f t="shared" si="10"/>
        <v>rokwzgl=2 i lp=360</v>
      </c>
      <c r="H45" s="27" t="str">
        <f t="shared" si="10"/>
        <v>rokwzgl=3 i lp=360</v>
      </c>
      <c r="I45" s="27" t="str">
        <f t="shared" si="10"/>
        <v>rokwzgl=4 i lp=360</v>
      </c>
      <c r="J45" s="27" t="str">
        <f t="shared" si="10"/>
        <v>rokwzgl=5 i lp=360</v>
      </c>
      <c r="K45" s="27" t="str">
        <f t="shared" si="10"/>
        <v>rokwzgl=6 i lp=360</v>
      </c>
      <c r="L45" s="27" t="str">
        <f t="shared" si="10"/>
        <v>rokwzgl=7 i lp=360</v>
      </c>
      <c r="M45" s="27" t="str">
        <f t="shared" si="10"/>
        <v>rokwzgl=8 i lp=360</v>
      </c>
      <c r="N45" s="27" t="str">
        <f t="shared" si="11"/>
        <v>rokwzgl=9 i lp=360</v>
      </c>
      <c r="O45" s="27" t="str">
        <f t="shared" si="11"/>
        <v>rokwzgl=10 i lp=360</v>
      </c>
      <c r="P45" s="27" t="str">
        <f t="shared" si="11"/>
        <v>rokwzgl=11 i lp=360</v>
      </c>
      <c r="Q45" s="27" t="str">
        <f t="shared" si="11"/>
        <v>rokwzgl=12 i lp=360</v>
      </c>
      <c r="R45" s="27" t="str">
        <f t="shared" si="11"/>
        <v>rokwzgl=13 i lp=360</v>
      </c>
      <c r="S45" s="27" t="str">
        <f t="shared" si="11"/>
        <v>rokwzgl=14 i lp=360</v>
      </c>
      <c r="T45" s="27" t="str">
        <f t="shared" si="11"/>
        <v>rokwzgl=15 i lp=360</v>
      </c>
      <c r="U45" s="27" t="str">
        <f t="shared" si="11"/>
        <v>rokwzgl=16 i lp=360</v>
      </c>
      <c r="V45" s="27" t="str">
        <f t="shared" si="11"/>
        <v>rokwzgl=17 i lp=360</v>
      </c>
      <c r="W45" s="27" t="str">
        <f t="shared" si="11"/>
        <v>rokwzgl=18 i lp=360</v>
      </c>
      <c r="X45" s="27" t="str">
        <f t="shared" si="12"/>
        <v>rokwzgl=19 i lp=360</v>
      </c>
      <c r="Y45" s="27" t="str">
        <f t="shared" si="12"/>
        <v>rokwzgl=20 i lp=360</v>
      </c>
      <c r="Z45" s="27" t="str">
        <f t="shared" si="12"/>
        <v>rokwzgl=21 i lp=360</v>
      </c>
      <c r="AA45" s="27" t="str">
        <f t="shared" si="12"/>
        <v>rokwzgl=22 i lp=360</v>
      </c>
      <c r="AB45" s="27" t="str">
        <f t="shared" si="12"/>
        <v>rokwzgl=23 i lp=360</v>
      </c>
      <c r="AC45" s="27" t="str">
        <f t="shared" si="12"/>
        <v>rokwzgl=24 i lp=360</v>
      </c>
      <c r="AD45" s="27" t="str">
        <f t="shared" si="12"/>
        <v>rokwzgl=25 i lp=360</v>
      </c>
      <c r="AE45" s="27" t="str">
        <f t="shared" si="12"/>
        <v>rokwzgl=26 i lp=360</v>
      </c>
      <c r="AF45" s="27" t="str">
        <f t="shared" si="12"/>
        <v>rokwzgl=27 i lp=360</v>
      </c>
      <c r="AG45" s="27" t="str">
        <f t="shared" si="12"/>
        <v>rokwzgl=28 i lp=360</v>
      </c>
      <c r="AH45" s="27" t="str">
        <f t="shared" si="12"/>
        <v>rokwzgl=29 i lp=360</v>
      </c>
    </row>
    <row r="46" spans="1:34">
      <c r="A46" s="26">
        <v>370</v>
      </c>
      <c r="B46" s="26" t="s">
        <v>101</v>
      </c>
      <c r="C46" s="27" t="s">
        <v>102</v>
      </c>
      <c r="D46" s="27" t="str">
        <f t="shared" si="10"/>
        <v>rokwzgl=0 i lp=370</v>
      </c>
      <c r="E46" s="27" t="str">
        <f t="shared" si="10"/>
        <v>rokwzgl=0 i lp=370</v>
      </c>
      <c r="F46" s="27" t="str">
        <f t="shared" si="10"/>
        <v>rokwzgl=1 i lp=370</v>
      </c>
      <c r="G46" s="27" t="str">
        <f t="shared" si="10"/>
        <v>rokwzgl=2 i lp=370</v>
      </c>
      <c r="H46" s="27" t="str">
        <f t="shared" si="10"/>
        <v>rokwzgl=3 i lp=370</v>
      </c>
      <c r="I46" s="27" t="str">
        <f t="shared" si="10"/>
        <v>rokwzgl=4 i lp=370</v>
      </c>
      <c r="J46" s="27" t="str">
        <f t="shared" si="10"/>
        <v>rokwzgl=5 i lp=370</v>
      </c>
      <c r="K46" s="27" t="str">
        <f t="shared" si="10"/>
        <v>rokwzgl=6 i lp=370</v>
      </c>
      <c r="L46" s="27" t="str">
        <f t="shared" si="10"/>
        <v>rokwzgl=7 i lp=370</v>
      </c>
      <c r="M46" s="27" t="str">
        <f t="shared" si="10"/>
        <v>rokwzgl=8 i lp=370</v>
      </c>
      <c r="N46" s="27" t="str">
        <f t="shared" si="11"/>
        <v>rokwzgl=9 i lp=370</v>
      </c>
      <c r="O46" s="27" t="str">
        <f t="shared" si="11"/>
        <v>rokwzgl=10 i lp=370</v>
      </c>
      <c r="P46" s="27" t="str">
        <f t="shared" si="11"/>
        <v>rokwzgl=11 i lp=370</v>
      </c>
      <c r="Q46" s="27" t="str">
        <f t="shared" si="11"/>
        <v>rokwzgl=12 i lp=370</v>
      </c>
      <c r="R46" s="27" t="str">
        <f t="shared" si="11"/>
        <v>rokwzgl=13 i lp=370</v>
      </c>
      <c r="S46" s="27" t="str">
        <f t="shared" si="11"/>
        <v>rokwzgl=14 i lp=370</v>
      </c>
      <c r="T46" s="27" t="str">
        <f t="shared" si="11"/>
        <v>rokwzgl=15 i lp=370</v>
      </c>
      <c r="U46" s="27" t="str">
        <f t="shared" si="11"/>
        <v>rokwzgl=16 i lp=370</v>
      </c>
      <c r="V46" s="27" t="str">
        <f t="shared" si="11"/>
        <v>rokwzgl=17 i lp=370</v>
      </c>
      <c r="W46" s="27" t="str">
        <f t="shared" si="11"/>
        <v>rokwzgl=18 i lp=370</v>
      </c>
      <c r="X46" s="27" t="str">
        <f t="shared" si="12"/>
        <v>rokwzgl=19 i lp=370</v>
      </c>
      <c r="Y46" s="27" t="str">
        <f t="shared" si="12"/>
        <v>rokwzgl=20 i lp=370</v>
      </c>
      <c r="Z46" s="27" t="str">
        <f t="shared" si="12"/>
        <v>rokwzgl=21 i lp=370</v>
      </c>
      <c r="AA46" s="27" t="str">
        <f t="shared" si="12"/>
        <v>rokwzgl=22 i lp=370</v>
      </c>
      <c r="AB46" s="27" t="str">
        <f t="shared" si="12"/>
        <v>rokwzgl=23 i lp=370</v>
      </c>
      <c r="AC46" s="27" t="str">
        <f t="shared" si="12"/>
        <v>rokwzgl=24 i lp=370</v>
      </c>
      <c r="AD46" s="27" t="str">
        <f t="shared" si="12"/>
        <v>rokwzgl=25 i lp=370</v>
      </c>
      <c r="AE46" s="27" t="str">
        <f t="shared" si="12"/>
        <v>rokwzgl=26 i lp=370</v>
      </c>
      <c r="AF46" s="27" t="str">
        <f t="shared" si="12"/>
        <v>rokwzgl=27 i lp=370</v>
      </c>
      <c r="AG46" s="27" t="str">
        <f t="shared" si="12"/>
        <v>rokwzgl=28 i lp=370</v>
      </c>
      <c r="AH46" s="27" t="str">
        <f t="shared" si="12"/>
        <v>rokwzgl=29 i lp=370</v>
      </c>
    </row>
    <row r="47" spans="1:34">
      <c r="A47" s="26">
        <v>380</v>
      </c>
      <c r="B47" s="26">
        <v>6.2</v>
      </c>
      <c r="C47" s="27" t="s">
        <v>103</v>
      </c>
      <c r="D47" s="27" t="str">
        <f t="shared" si="10"/>
        <v>rokwzgl=0 i lp=380</v>
      </c>
      <c r="E47" s="27" t="str">
        <f t="shared" si="10"/>
        <v>rokwzgl=0 i lp=380</v>
      </c>
      <c r="F47" s="27" t="str">
        <f t="shared" si="10"/>
        <v>rokwzgl=1 i lp=380</v>
      </c>
      <c r="G47" s="27" t="str">
        <f t="shared" si="10"/>
        <v>rokwzgl=2 i lp=380</v>
      </c>
      <c r="H47" s="27" t="str">
        <f t="shared" si="10"/>
        <v>rokwzgl=3 i lp=380</v>
      </c>
      <c r="I47" s="27" t="str">
        <f t="shared" si="10"/>
        <v>rokwzgl=4 i lp=380</v>
      </c>
      <c r="J47" s="27" t="str">
        <f t="shared" si="10"/>
        <v>rokwzgl=5 i lp=380</v>
      </c>
      <c r="K47" s="27" t="str">
        <f t="shared" si="10"/>
        <v>rokwzgl=6 i lp=380</v>
      </c>
      <c r="L47" s="27" t="str">
        <f t="shared" si="10"/>
        <v>rokwzgl=7 i lp=380</v>
      </c>
      <c r="M47" s="27" t="str">
        <f t="shared" si="10"/>
        <v>rokwzgl=8 i lp=380</v>
      </c>
      <c r="N47" s="27" t="str">
        <f t="shared" si="11"/>
        <v>rokwzgl=9 i lp=380</v>
      </c>
      <c r="O47" s="27" t="str">
        <f t="shared" si="11"/>
        <v>rokwzgl=10 i lp=380</v>
      </c>
      <c r="P47" s="27" t="str">
        <f t="shared" si="11"/>
        <v>rokwzgl=11 i lp=380</v>
      </c>
      <c r="Q47" s="27" t="str">
        <f t="shared" si="11"/>
        <v>rokwzgl=12 i lp=380</v>
      </c>
      <c r="R47" s="27" t="str">
        <f t="shared" si="11"/>
        <v>rokwzgl=13 i lp=380</v>
      </c>
      <c r="S47" s="27" t="str">
        <f t="shared" si="11"/>
        <v>rokwzgl=14 i lp=380</v>
      </c>
      <c r="T47" s="27" t="str">
        <f t="shared" si="11"/>
        <v>rokwzgl=15 i lp=380</v>
      </c>
      <c r="U47" s="27" t="str">
        <f t="shared" si="11"/>
        <v>rokwzgl=16 i lp=380</v>
      </c>
      <c r="V47" s="27" t="str">
        <f t="shared" si="11"/>
        <v>rokwzgl=17 i lp=380</v>
      </c>
      <c r="W47" s="27" t="str">
        <f t="shared" si="11"/>
        <v>rokwzgl=18 i lp=380</v>
      </c>
      <c r="X47" s="27" t="str">
        <f t="shared" si="12"/>
        <v>rokwzgl=19 i lp=380</v>
      </c>
      <c r="Y47" s="27" t="str">
        <f t="shared" si="12"/>
        <v>rokwzgl=20 i lp=380</v>
      </c>
      <c r="Z47" s="27" t="str">
        <f t="shared" si="12"/>
        <v>rokwzgl=21 i lp=380</v>
      </c>
      <c r="AA47" s="27" t="str">
        <f t="shared" si="12"/>
        <v>rokwzgl=22 i lp=380</v>
      </c>
      <c r="AB47" s="27" t="str">
        <f t="shared" si="12"/>
        <v>rokwzgl=23 i lp=380</v>
      </c>
      <c r="AC47" s="27" t="str">
        <f t="shared" si="12"/>
        <v>rokwzgl=24 i lp=380</v>
      </c>
      <c r="AD47" s="27" t="str">
        <f t="shared" si="12"/>
        <v>rokwzgl=25 i lp=380</v>
      </c>
      <c r="AE47" s="27" t="str">
        <f t="shared" si="12"/>
        <v>rokwzgl=26 i lp=380</v>
      </c>
      <c r="AF47" s="27" t="str">
        <f t="shared" si="12"/>
        <v>rokwzgl=27 i lp=380</v>
      </c>
      <c r="AG47" s="27" t="str">
        <f t="shared" si="12"/>
        <v>rokwzgl=28 i lp=380</v>
      </c>
      <c r="AH47" s="27" t="str">
        <f t="shared" si="12"/>
        <v>rokwzgl=29 i lp=380</v>
      </c>
    </row>
    <row r="48" spans="1:34">
      <c r="A48" s="26">
        <v>390</v>
      </c>
      <c r="B48" s="26">
        <v>6.3</v>
      </c>
      <c r="C48" s="27" t="s">
        <v>104</v>
      </c>
      <c r="D48" s="27" t="str">
        <f t="shared" si="10"/>
        <v>rokwzgl=0 i lp=390</v>
      </c>
      <c r="E48" s="27" t="str">
        <f t="shared" si="10"/>
        <v>rokwzgl=0 i lp=390</v>
      </c>
      <c r="F48" s="27" t="str">
        <f t="shared" si="10"/>
        <v>rokwzgl=1 i lp=390</v>
      </c>
      <c r="G48" s="27" t="str">
        <f t="shared" si="10"/>
        <v>rokwzgl=2 i lp=390</v>
      </c>
      <c r="H48" s="27" t="str">
        <f t="shared" si="10"/>
        <v>rokwzgl=3 i lp=390</v>
      </c>
      <c r="I48" s="27" t="str">
        <f t="shared" si="10"/>
        <v>rokwzgl=4 i lp=390</v>
      </c>
      <c r="J48" s="27" t="str">
        <f t="shared" si="10"/>
        <v>rokwzgl=5 i lp=390</v>
      </c>
      <c r="K48" s="27" t="str">
        <f t="shared" si="10"/>
        <v>rokwzgl=6 i lp=390</v>
      </c>
      <c r="L48" s="27" t="str">
        <f t="shared" si="10"/>
        <v>rokwzgl=7 i lp=390</v>
      </c>
      <c r="M48" s="27" t="str">
        <f t="shared" si="10"/>
        <v>rokwzgl=8 i lp=390</v>
      </c>
      <c r="N48" s="27" t="str">
        <f t="shared" si="11"/>
        <v>rokwzgl=9 i lp=390</v>
      </c>
      <c r="O48" s="27" t="str">
        <f t="shared" si="11"/>
        <v>rokwzgl=10 i lp=390</v>
      </c>
      <c r="P48" s="27" t="str">
        <f t="shared" si="11"/>
        <v>rokwzgl=11 i lp=390</v>
      </c>
      <c r="Q48" s="27" t="str">
        <f t="shared" si="11"/>
        <v>rokwzgl=12 i lp=390</v>
      </c>
      <c r="R48" s="27" t="str">
        <f t="shared" si="11"/>
        <v>rokwzgl=13 i lp=390</v>
      </c>
      <c r="S48" s="27" t="str">
        <f t="shared" si="11"/>
        <v>rokwzgl=14 i lp=390</v>
      </c>
      <c r="T48" s="27" t="str">
        <f t="shared" si="11"/>
        <v>rokwzgl=15 i lp=390</v>
      </c>
      <c r="U48" s="27" t="str">
        <f t="shared" si="11"/>
        <v>rokwzgl=16 i lp=390</v>
      </c>
      <c r="V48" s="27" t="str">
        <f t="shared" si="11"/>
        <v>rokwzgl=17 i lp=390</v>
      </c>
      <c r="W48" s="27" t="str">
        <f t="shared" si="11"/>
        <v>rokwzgl=18 i lp=390</v>
      </c>
      <c r="X48" s="27" t="str">
        <f t="shared" si="12"/>
        <v>rokwzgl=19 i lp=390</v>
      </c>
      <c r="Y48" s="27" t="str">
        <f t="shared" si="12"/>
        <v>rokwzgl=20 i lp=390</v>
      </c>
      <c r="Z48" s="27" t="str">
        <f t="shared" si="12"/>
        <v>rokwzgl=21 i lp=390</v>
      </c>
      <c r="AA48" s="27" t="str">
        <f t="shared" si="12"/>
        <v>rokwzgl=22 i lp=390</v>
      </c>
      <c r="AB48" s="27" t="str">
        <f t="shared" si="12"/>
        <v>rokwzgl=23 i lp=390</v>
      </c>
      <c r="AC48" s="27" t="str">
        <f t="shared" si="12"/>
        <v>rokwzgl=24 i lp=390</v>
      </c>
      <c r="AD48" s="27" t="str">
        <f t="shared" si="12"/>
        <v>rokwzgl=25 i lp=390</v>
      </c>
      <c r="AE48" s="27" t="str">
        <f t="shared" si="12"/>
        <v>rokwzgl=26 i lp=390</v>
      </c>
      <c r="AF48" s="27" t="str">
        <f t="shared" si="12"/>
        <v>rokwzgl=27 i lp=390</v>
      </c>
      <c r="AG48" s="27" t="str">
        <f t="shared" si="12"/>
        <v>rokwzgl=28 i lp=390</v>
      </c>
      <c r="AH48" s="27" t="str">
        <f t="shared" si="12"/>
        <v>rokwzgl=29 i lp=390</v>
      </c>
    </row>
    <row r="49" spans="1:34">
      <c r="A49" s="26">
        <v>400</v>
      </c>
      <c r="B49" s="26">
        <v>7</v>
      </c>
      <c r="C49" s="27" t="s">
        <v>105</v>
      </c>
      <c r="D49" s="27" t="str">
        <f t="shared" si="10"/>
        <v>rokwzgl=0 i lp=400</v>
      </c>
      <c r="E49" s="27" t="str">
        <f t="shared" si="10"/>
        <v>rokwzgl=0 i lp=400</v>
      </c>
      <c r="F49" s="27" t="str">
        <f t="shared" si="10"/>
        <v>rokwzgl=1 i lp=400</v>
      </c>
      <c r="G49" s="27" t="str">
        <f t="shared" si="10"/>
        <v>rokwzgl=2 i lp=400</v>
      </c>
      <c r="H49" s="27" t="str">
        <f t="shared" si="10"/>
        <v>rokwzgl=3 i lp=400</v>
      </c>
      <c r="I49" s="27" t="str">
        <f t="shared" si="10"/>
        <v>rokwzgl=4 i lp=400</v>
      </c>
      <c r="J49" s="27" t="str">
        <f t="shared" si="10"/>
        <v>rokwzgl=5 i lp=400</v>
      </c>
      <c r="K49" s="27" t="str">
        <f t="shared" si="10"/>
        <v>rokwzgl=6 i lp=400</v>
      </c>
      <c r="L49" s="27" t="str">
        <f t="shared" si="10"/>
        <v>rokwzgl=7 i lp=400</v>
      </c>
      <c r="M49" s="27" t="str">
        <f t="shared" si="10"/>
        <v>rokwzgl=8 i lp=400</v>
      </c>
      <c r="N49" s="27" t="str">
        <f t="shared" si="11"/>
        <v>rokwzgl=9 i lp=400</v>
      </c>
      <c r="O49" s="27" t="str">
        <f t="shared" si="11"/>
        <v>rokwzgl=10 i lp=400</v>
      </c>
      <c r="P49" s="27" t="str">
        <f t="shared" si="11"/>
        <v>rokwzgl=11 i lp=400</v>
      </c>
      <c r="Q49" s="27" t="str">
        <f t="shared" si="11"/>
        <v>rokwzgl=12 i lp=400</v>
      </c>
      <c r="R49" s="27" t="str">
        <f t="shared" si="11"/>
        <v>rokwzgl=13 i lp=400</v>
      </c>
      <c r="S49" s="27" t="str">
        <f t="shared" si="11"/>
        <v>rokwzgl=14 i lp=400</v>
      </c>
      <c r="T49" s="27" t="str">
        <f t="shared" si="11"/>
        <v>rokwzgl=15 i lp=400</v>
      </c>
      <c r="U49" s="27" t="str">
        <f t="shared" si="11"/>
        <v>rokwzgl=16 i lp=400</v>
      </c>
      <c r="V49" s="27" t="str">
        <f t="shared" si="11"/>
        <v>rokwzgl=17 i lp=400</v>
      </c>
      <c r="W49" s="27" t="str">
        <f t="shared" si="11"/>
        <v>rokwzgl=18 i lp=400</v>
      </c>
      <c r="X49" s="27" t="str">
        <f t="shared" si="12"/>
        <v>rokwzgl=19 i lp=400</v>
      </c>
      <c r="Y49" s="27" t="str">
        <f t="shared" si="12"/>
        <v>rokwzgl=20 i lp=400</v>
      </c>
      <c r="Z49" s="27" t="str">
        <f t="shared" si="12"/>
        <v>rokwzgl=21 i lp=400</v>
      </c>
      <c r="AA49" s="27" t="str">
        <f t="shared" si="12"/>
        <v>rokwzgl=22 i lp=400</v>
      </c>
      <c r="AB49" s="27" t="str">
        <f t="shared" si="12"/>
        <v>rokwzgl=23 i lp=400</v>
      </c>
      <c r="AC49" s="27" t="str">
        <f t="shared" si="12"/>
        <v>rokwzgl=24 i lp=400</v>
      </c>
      <c r="AD49" s="27" t="str">
        <f t="shared" si="12"/>
        <v>rokwzgl=25 i lp=400</v>
      </c>
      <c r="AE49" s="27" t="str">
        <f t="shared" si="12"/>
        <v>rokwzgl=26 i lp=400</v>
      </c>
      <c r="AF49" s="27" t="str">
        <f t="shared" si="12"/>
        <v>rokwzgl=27 i lp=400</v>
      </c>
      <c r="AG49" s="27" t="str">
        <f t="shared" si="12"/>
        <v>rokwzgl=28 i lp=400</v>
      </c>
      <c r="AH49" s="27" t="str">
        <f t="shared" si="12"/>
        <v>rokwzgl=29 i lp=400</v>
      </c>
    </row>
    <row r="50" spans="1:34">
      <c r="A50" s="26">
        <v>410</v>
      </c>
      <c r="D50" s="27" t="str">
        <f t="shared" ref="D50:M59" si="13">+"rokwzgl="&amp;D$9&amp;" i lp="&amp;$A50</f>
        <v>rokwzgl=0 i lp=410</v>
      </c>
      <c r="E50" s="27" t="str">
        <f t="shared" si="13"/>
        <v>rokwzgl=0 i lp=410</v>
      </c>
      <c r="F50" s="27" t="str">
        <f t="shared" si="13"/>
        <v>rokwzgl=1 i lp=410</v>
      </c>
      <c r="G50" s="27" t="str">
        <f t="shared" si="13"/>
        <v>rokwzgl=2 i lp=410</v>
      </c>
      <c r="H50" s="27" t="str">
        <f t="shared" si="13"/>
        <v>rokwzgl=3 i lp=410</v>
      </c>
      <c r="I50" s="27" t="str">
        <f t="shared" si="13"/>
        <v>rokwzgl=4 i lp=410</v>
      </c>
      <c r="J50" s="27" t="str">
        <f t="shared" si="13"/>
        <v>rokwzgl=5 i lp=410</v>
      </c>
      <c r="K50" s="27" t="str">
        <f t="shared" si="13"/>
        <v>rokwzgl=6 i lp=410</v>
      </c>
      <c r="L50" s="27" t="str">
        <f t="shared" si="13"/>
        <v>rokwzgl=7 i lp=410</v>
      </c>
      <c r="M50" s="27" t="str">
        <f t="shared" si="13"/>
        <v>rokwzgl=8 i lp=410</v>
      </c>
      <c r="N50" s="27" t="str">
        <f t="shared" ref="N50:W59" si="14">+"rokwzgl="&amp;N$9&amp;" i lp="&amp;$A50</f>
        <v>rokwzgl=9 i lp=410</v>
      </c>
      <c r="O50" s="27" t="str">
        <f t="shared" si="14"/>
        <v>rokwzgl=10 i lp=410</v>
      </c>
      <c r="P50" s="27" t="str">
        <f t="shared" si="14"/>
        <v>rokwzgl=11 i lp=410</v>
      </c>
      <c r="Q50" s="27" t="str">
        <f t="shared" si="14"/>
        <v>rokwzgl=12 i lp=410</v>
      </c>
      <c r="R50" s="27" t="str">
        <f t="shared" si="14"/>
        <v>rokwzgl=13 i lp=410</v>
      </c>
      <c r="S50" s="27" t="str">
        <f t="shared" si="14"/>
        <v>rokwzgl=14 i lp=410</v>
      </c>
      <c r="T50" s="27" t="str">
        <f t="shared" si="14"/>
        <v>rokwzgl=15 i lp=410</v>
      </c>
      <c r="U50" s="27" t="str">
        <f t="shared" si="14"/>
        <v>rokwzgl=16 i lp=410</v>
      </c>
      <c r="V50" s="27" t="str">
        <f t="shared" si="14"/>
        <v>rokwzgl=17 i lp=410</v>
      </c>
      <c r="W50" s="27" t="str">
        <f t="shared" si="14"/>
        <v>rokwzgl=18 i lp=410</v>
      </c>
      <c r="X50" s="27" t="str">
        <f t="shared" ref="X50:AH59" si="15">+"rokwzgl="&amp;X$9&amp;" i lp="&amp;$A50</f>
        <v>rokwzgl=19 i lp=410</v>
      </c>
      <c r="Y50" s="27" t="str">
        <f t="shared" si="15"/>
        <v>rokwzgl=20 i lp=410</v>
      </c>
      <c r="Z50" s="27" t="str">
        <f t="shared" si="15"/>
        <v>rokwzgl=21 i lp=410</v>
      </c>
      <c r="AA50" s="27" t="str">
        <f t="shared" si="15"/>
        <v>rokwzgl=22 i lp=410</v>
      </c>
      <c r="AB50" s="27" t="str">
        <f t="shared" si="15"/>
        <v>rokwzgl=23 i lp=410</v>
      </c>
      <c r="AC50" s="27" t="str">
        <f t="shared" si="15"/>
        <v>rokwzgl=24 i lp=410</v>
      </c>
      <c r="AD50" s="27" t="str">
        <f t="shared" si="15"/>
        <v>rokwzgl=25 i lp=410</v>
      </c>
      <c r="AE50" s="27" t="str">
        <f t="shared" si="15"/>
        <v>rokwzgl=26 i lp=410</v>
      </c>
      <c r="AF50" s="27" t="str">
        <f t="shared" si="15"/>
        <v>rokwzgl=27 i lp=410</v>
      </c>
      <c r="AG50" s="27" t="str">
        <f t="shared" si="15"/>
        <v>rokwzgl=28 i lp=410</v>
      </c>
      <c r="AH50" s="27" t="str">
        <f t="shared" si="15"/>
        <v>rokwzgl=29 i lp=410</v>
      </c>
    </row>
    <row r="51" spans="1:34">
      <c r="A51" s="26">
        <v>420</v>
      </c>
      <c r="B51" s="26">
        <v>8.1</v>
      </c>
      <c r="C51" s="27" t="s">
        <v>106</v>
      </c>
      <c r="D51" s="27" t="str">
        <f t="shared" si="13"/>
        <v>rokwzgl=0 i lp=420</v>
      </c>
      <c r="E51" s="27" t="str">
        <f t="shared" si="13"/>
        <v>rokwzgl=0 i lp=420</v>
      </c>
      <c r="F51" s="27" t="str">
        <f t="shared" si="13"/>
        <v>rokwzgl=1 i lp=420</v>
      </c>
      <c r="G51" s="27" t="str">
        <f t="shared" si="13"/>
        <v>rokwzgl=2 i lp=420</v>
      </c>
      <c r="H51" s="27" t="str">
        <f t="shared" si="13"/>
        <v>rokwzgl=3 i lp=420</v>
      </c>
      <c r="I51" s="27" t="str">
        <f t="shared" si="13"/>
        <v>rokwzgl=4 i lp=420</v>
      </c>
      <c r="J51" s="27" t="str">
        <f t="shared" si="13"/>
        <v>rokwzgl=5 i lp=420</v>
      </c>
      <c r="K51" s="27" t="str">
        <f t="shared" si="13"/>
        <v>rokwzgl=6 i lp=420</v>
      </c>
      <c r="L51" s="27" t="str">
        <f t="shared" si="13"/>
        <v>rokwzgl=7 i lp=420</v>
      </c>
      <c r="M51" s="27" t="str">
        <f t="shared" si="13"/>
        <v>rokwzgl=8 i lp=420</v>
      </c>
      <c r="N51" s="27" t="str">
        <f t="shared" si="14"/>
        <v>rokwzgl=9 i lp=420</v>
      </c>
      <c r="O51" s="27" t="str">
        <f t="shared" si="14"/>
        <v>rokwzgl=10 i lp=420</v>
      </c>
      <c r="P51" s="27" t="str">
        <f t="shared" si="14"/>
        <v>rokwzgl=11 i lp=420</v>
      </c>
      <c r="Q51" s="27" t="str">
        <f t="shared" si="14"/>
        <v>rokwzgl=12 i lp=420</v>
      </c>
      <c r="R51" s="27" t="str">
        <f t="shared" si="14"/>
        <v>rokwzgl=13 i lp=420</v>
      </c>
      <c r="S51" s="27" t="str">
        <f t="shared" si="14"/>
        <v>rokwzgl=14 i lp=420</v>
      </c>
      <c r="T51" s="27" t="str">
        <f t="shared" si="14"/>
        <v>rokwzgl=15 i lp=420</v>
      </c>
      <c r="U51" s="27" t="str">
        <f t="shared" si="14"/>
        <v>rokwzgl=16 i lp=420</v>
      </c>
      <c r="V51" s="27" t="str">
        <f t="shared" si="14"/>
        <v>rokwzgl=17 i lp=420</v>
      </c>
      <c r="W51" s="27" t="str">
        <f t="shared" si="14"/>
        <v>rokwzgl=18 i lp=420</v>
      </c>
      <c r="X51" s="27" t="str">
        <f t="shared" si="15"/>
        <v>rokwzgl=19 i lp=420</v>
      </c>
      <c r="Y51" s="27" t="str">
        <f t="shared" si="15"/>
        <v>rokwzgl=20 i lp=420</v>
      </c>
      <c r="Z51" s="27" t="str">
        <f t="shared" si="15"/>
        <v>rokwzgl=21 i lp=420</v>
      </c>
      <c r="AA51" s="27" t="str">
        <f t="shared" si="15"/>
        <v>rokwzgl=22 i lp=420</v>
      </c>
      <c r="AB51" s="27" t="str">
        <f t="shared" si="15"/>
        <v>rokwzgl=23 i lp=420</v>
      </c>
      <c r="AC51" s="27" t="str">
        <f t="shared" si="15"/>
        <v>rokwzgl=24 i lp=420</v>
      </c>
      <c r="AD51" s="27" t="str">
        <f t="shared" si="15"/>
        <v>rokwzgl=25 i lp=420</v>
      </c>
      <c r="AE51" s="27" t="str">
        <f t="shared" si="15"/>
        <v>rokwzgl=26 i lp=420</v>
      </c>
      <c r="AF51" s="27" t="str">
        <f t="shared" si="15"/>
        <v>rokwzgl=27 i lp=420</v>
      </c>
      <c r="AG51" s="27" t="str">
        <f t="shared" si="15"/>
        <v>rokwzgl=28 i lp=420</v>
      </c>
      <c r="AH51" s="27" t="str">
        <f t="shared" si="15"/>
        <v>rokwzgl=29 i lp=420</v>
      </c>
    </row>
    <row r="52" spans="1:34">
      <c r="A52" s="26">
        <v>430</v>
      </c>
      <c r="B52" s="26">
        <v>8.1999999999999993</v>
      </c>
      <c r="C52" s="27" t="s">
        <v>107</v>
      </c>
      <c r="D52" s="27" t="str">
        <f t="shared" si="13"/>
        <v>rokwzgl=0 i lp=430</v>
      </c>
      <c r="E52" s="27" t="str">
        <f t="shared" si="13"/>
        <v>rokwzgl=0 i lp=430</v>
      </c>
      <c r="F52" s="27" t="str">
        <f t="shared" si="13"/>
        <v>rokwzgl=1 i lp=430</v>
      </c>
      <c r="G52" s="27" t="str">
        <f t="shared" si="13"/>
        <v>rokwzgl=2 i lp=430</v>
      </c>
      <c r="H52" s="27" t="str">
        <f t="shared" si="13"/>
        <v>rokwzgl=3 i lp=430</v>
      </c>
      <c r="I52" s="27" t="str">
        <f t="shared" si="13"/>
        <v>rokwzgl=4 i lp=430</v>
      </c>
      <c r="J52" s="27" t="str">
        <f t="shared" si="13"/>
        <v>rokwzgl=5 i lp=430</v>
      </c>
      <c r="K52" s="27" t="str">
        <f t="shared" si="13"/>
        <v>rokwzgl=6 i lp=430</v>
      </c>
      <c r="L52" s="27" t="str">
        <f t="shared" si="13"/>
        <v>rokwzgl=7 i lp=430</v>
      </c>
      <c r="M52" s="27" t="str">
        <f t="shared" si="13"/>
        <v>rokwzgl=8 i lp=430</v>
      </c>
      <c r="N52" s="27" t="str">
        <f t="shared" si="14"/>
        <v>rokwzgl=9 i lp=430</v>
      </c>
      <c r="O52" s="27" t="str">
        <f t="shared" si="14"/>
        <v>rokwzgl=10 i lp=430</v>
      </c>
      <c r="P52" s="27" t="str">
        <f t="shared" si="14"/>
        <v>rokwzgl=11 i lp=430</v>
      </c>
      <c r="Q52" s="27" t="str">
        <f t="shared" si="14"/>
        <v>rokwzgl=12 i lp=430</v>
      </c>
      <c r="R52" s="27" t="str">
        <f t="shared" si="14"/>
        <v>rokwzgl=13 i lp=430</v>
      </c>
      <c r="S52" s="27" t="str">
        <f t="shared" si="14"/>
        <v>rokwzgl=14 i lp=430</v>
      </c>
      <c r="T52" s="27" t="str">
        <f t="shared" si="14"/>
        <v>rokwzgl=15 i lp=430</v>
      </c>
      <c r="U52" s="27" t="str">
        <f t="shared" si="14"/>
        <v>rokwzgl=16 i lp=430</v>
      </c>
      <c r="V52" s="27" t="str">
        <f t="shared" si="14"/>
        <v>rokwzgl=17 i lp=430</v>
      </c>
      <c r="W52" s="27" t="str">
        <f t="shared" si="14"/>
        <v>rokwzgl=18 i lp=430</v>
      </c>
      <c r="X52" s="27" t="str">
        <f t="shared" si="15"/>
        <v>rokwzgl=19 i lp=430</v>
      </c>
      <c r="Y52" s="27" t="str">
        <f t="shared" si="15"/>
        <v>rokwzgl=20 i lp=430</v>
      </c>
      <c r="Z52" s="27" t="str">
        <f t="shared" si="15"/>
        <v>rokwzgl=21 i lp=430</v>
      </c>
      <c r="AA52" s="27" t="str">
        <f t="shared" si="15"/>
        <v>rokwzgl=22 i lp=430</v>
      </c>
      <c r="AB52" s="27" t="str">
        <f t="shared" si="15"/>
        <v>rokwzgl=23 i lp=430</v>
      </c>
      <c r="AC52" s="27" t="str">
        <f t="shared" si="15"/>
        <v>rokwzgl=24 i lp=430</v>
      </c>
      <c r="AD52" s="27" t="str">
        <f t="shared" si="15"/>
        <v>rokwzgl=25 i lp=430</v>
      </c>
      <c r="AE52" s="27" t="str">
        <f t="shared" si="15"/>
        <v>rokwzgl=26 i lp=430</v>
      </c>
      <c r="AF52" s="27" t="str">
        <f t="shared" si="15"/>
        <v>rokwzgl=27 i lp=430</v>
      </c>
      <c r="AG52" s="27" t="str">
        <f t="shared" si="15"/>
        <v>rokwzgl=28 i lp=430</v>
      </c>
      <c r="AH52" s="27" t="str">
        <f t="shared" si="15"/>
        <v>rokwzgl=29 i lp=430</v>
      </c>
    </row>
    <row r="53" spans="1:34">
      <c r="A53" s="26">
        <v>440</v>
      </c>
      <c r="D53" s="27" t="str">
        <f t="shared" si="13"/>
        <v>rokwzgl=0 i lp=440</v>
      </c>
      <c r="E53" s="27" t="str">
        <f t="shared" si="13"/>
        <v>rokwzgl=0 i lp=440</v>
      </c>
      <c r="F53" s="27" t="str">
        <f t="shared" si="13"/>
        <v>rokwzgl=1 i lp=440</v>
      </c>
      <c r="G53" s="27" t="str">
        <f t="shared" si="13"/>
        <v>rokwzgl=2 i lp=440</v>
      </c>
      <c r="H53" s="27" t="str">
        <f t="shared" si="13"/>
        <v>rokwzgl=3 i lp=440</v>
      </c>
      <c r="I53" s="27" t="str">
        <f t="shared" si="13"/>
        <v>rokwzgl=4 i lp=440</v>
      </c>
      <c r="J53" s="27" t="str">
        <f t="shared" si="13"/>
        <v>rokwzgl=5 i lp=440</v>
      </c>
      <c r="K53" s="27" t="str">
        <f t="shared" si="13"/>
        <v>rokwzgl=6 i lp=440</v>
      </c>
      <c r="L53" s="27" t="str">
        <f t="shared" si="13"/>
        <v>rokwzgl=7 i lp=440</v>
      </c>
      <c r="M53" s="27" t="str">
        <f t="shared" si="13"/>
        <v>rokwzgl=8 i lp=440</v>
      </c>
      <c r="N53" s="27" t="str">
        <f t="shared" si="14"/>
        <v>rokwzgl=9 i lp=440</v>
      </c>
      <c r="O53" s="27" t="str">
        <f t="shared" si="14"/>
        <v>rokwzgl=10 i lp=440</v>
      </c>
      <c r="P53" s="27" t="str">
        <f t="shared" si="14"/>
        <v>rokwzgl=11 i lp=440</v>
      </c>
      <c r="Q53" s="27" t="str">
        <f t="shared" si="14"/>
        <v>rokwzgl=12 i lp=440</v>
      </c>
      <c r="R53" s="27" t="str">
        <f t="shared" si="14"/>
        <v>rokwzgl=13 i lp=440</v>
      </c>
      <c r="S53" s="27" t="str">
        <f t="shared" si="14"/>
        <v>rokwzgl=14 i lp=440</v>
      </c>
      <c r="T53" s="27" t="str">
        <f t="shared" si="14"/>
        <v>rokwzgl=15 i lp=440</v>
      </c>
      <c r="U53" s="27" t="str">
        <f t="shared" si="14"/>
        <v>rokwzgl=16 i lp=440</v>
      </c>
      <c r="V53" s="27" t="str">
        <f t="shared" si="14"/>
        <v>rokwzgl=17 i lp=440</v>
      </c>
      <c r="W53" s="27" t="str">
        <f t="shared" si="14"/>
        <v>rokwzgl=18 i lp=440</v>
      </c>
      <c r="X53" s="27" t="str">
        <f t="shared" si="15"/>
        <v>rokwzgl=19 i lp=440</v>
      </c>
      <c r="Y53" s="27" t="str">
        <f t="shared" si="15"/>
        <v>rokwzgl=20 i lp=440</v>
      </c>
      <c r="Z53" s="27" t="str">
        <f t="shared" si="15"/>
        <v>rokwzgl=21 i lp=440</v>
      </c>
      <c r="AA53" s="27" t="str">
        <f t="shared" si="15"/>
        <v>rokwzgl=22 i lp=440</v>
      </c>
      <c r="AB53" s="27" t="str">
        <f t="shared" si="15"/>
        <v>rokwzgl=23 i lp=440</v>
      </c>
      <c r="AC53" s="27" t="str">
        <f t="shared" si="15"/>
        <v>rokwzgl=24 i lp=440</v>
      </c>
      <c r="AD53" s="27" t="str">
        <f t="shared" si="15"/>
        <v>rokwzgl=25 i lp=440</v>
      </c>
      <c r="AE53" s="27" t="str">
        <f t="shared" si="15"/>
        <v>rokwzgl=26 i lp=440</v>
      </c>
      <c r="AF53" s="27" t="str">
        <f t="shared" si="15"/>
        <v>rokwzgl=27 i lp=440</v>
      </c>
      <c r="AG53" s="27" t="str">
        <f t="shared" si="15"/>
        <v>rokwzgl=28 i lp=440</v>
      </c>
      <c r="AH53" s="27" t="str">
        <f t="shared" si="15"/>
        <v>rokwzgl=29 i lp=440</v>
      </c>
    </row>
    <row r="54" spans="1:34">
      <c r="A54" s="26">
        <v>450</v>
      </c>
      <c r="B54" s="26">
        <v>9.1</v>
      </c>
      <c r="C54" s="27" t="s">
        <v>108</v>
      </c>
      <c r="D54" s="27" t="str">
        <f t="shared" si="13"/>
        <v>rokwzgl=0 i lp=450</v>
      </c>
      <c r="E54" s="27" t="str">
        <f t="shared" si="13"/>
        <v>rokwzgl=0 i lp=450</v>
      </c>
      <c r="F54" s="27" t="str">
        <f t="shared" si="13"/>
        <v>rokwzgl=1 i lp=450</v>
      </c>
      <c r="G54" s="27" t="str">
        <f t="shared" si="13"/>
        <v>rokwzgl=2 i lp=450</v>
      </c>
      <c r="H54" s="27" t="str">
        <f t="shared" si="13"/>
        <v>rokwzgl=3 i lp=450</v>
      </c>
      <c r="I54" s="27" t="str">
        <f t="shared" si="13"/>
        <v>rokwzgl=4 i lp=450</v>
      </c>
      <c r="J54" s="27" t="str">
        <f t="shared" si="13"/>
        <v>rokwzgl=5 i lp=450</v>
      </c>
      <c r="K54" s="27" t="str">
        <f t="shared" si="13"/>
        <v>rokwzgl=6 i lp=450</v>
      </c>
      <c r="L54" s="27" t="str">
        <f t="shared" si="13"/>
        <v>rokwzgl=7 i lp=450</v>
      </c>
      <c r="M54" s="27" t="str">
        <f t="shared" si="13"/>
        <v>rokwzgl=8 i lp=450</v>
      </c>
      <c r="N54" s="27" t="str">
        <f t="shared" si="14"/>
        <v>rokwzgl=9 i lp=450</v>
      </c>
      <c r="O54" s="27" t="str">
        <f t="shared" si="14"/>
        <v>rokwzgl=10 i lp=450</v>
      </c>
      <c r="P54" s="27" t="str">
        <f t="shared" si="14"/>
        <v>rokwzgl=11 i lp=450</v>
      </c>
      <c r="Q54" s="27" t="str">
        <f t="shared" si="14"/>
        <v>rokwzgl=12 i lp=450</v>
      </c>
      <c r="R54" s="27" t="str">
        <f t="shared" si="14"/>
        <v>rokwzgl=13 i lp=450</v>
      </c>
      <c r="S54" s="27" t="str">
        <f t="shared" si="14"/>
        <v>rokwzgl=14 i lp=450</v>
      </c>
      <c r="T54" s="27" t="str">
        <f t="shared" si="14"/>
        <v>rokwzgl=15 i lp=450</v>
      </c>
      <c r="U54" s="27" t="str">
        <f t="shared" si="14"/>
        <v>rokwzgl=16 i lp=450</v>
      </c>
      <c r="V54" s="27" t="str">
        <f t="shared" si="14"/>
        <v>rokwzgl=17 i lp=450</v>
      </c>
      <c r="W54" s="27" t="str">
        <f t="shared" si="14"/>
        <v>rokwzgl=18 i lp=450</v>
      </c>
      <c r="X54" s="27" t="str">
        <f t="shared" si="15"/>
        <v>rokwzgl=19 i lp=450</v>
      </c>
      <c r="Y54" s="27" t="str">
        <f t="shared" si="15"/>
        <v>rokwzgl=20 i lp=450</v>
      </c>
      <c r="Z54" s="27" t="str">
        <f t="shared" si="15"/>
        <v>rokwzgl=21 i lp=450</v>
      </c>
      <c r="AA54" s="27" t="str">
        <f t="shared" si="15"/>
        <v>rokwzgl=22 i lp=450</v>
      </c>
      <c r="AB54" s="27" t="str">
        <f t="shared" si="15"/>
        <v>rokwzgl=23 i lp=450</v>
      </c>
      <c r="AC54" s="27" t="str">
        <f t="shared" si="15"/>
        <v>rokwzgl=24 i lp=450</v>
      </c>
      <c r="AD54" s="27" t="str">
        <f t="shared" si="15"/>
        <v>rokwzgl=25 i lp=450</v>
      </c>
      <c r="AE54" s="27" t="str">
        <f t="shared" si="15"/>
        <v>rokwzgl=26 i lp=450</v>
      </c>
      <c r="AF54" s="27" t="str">
        <f t="shared" si="15"/>
        <v>rokwzgl=27 i lp=450</v>
      </c>
      <c r="AG54" s="27" t="str">
        <f t="shared" si="15"/>
        <v>rokwzgl=28 i lp=450</v>
      </c>
      <c r="AH54" s="27" t="str">
        <f t="shared" si="15"/>
        <v>rokwzgl=29 i lp=450</v>
      </c>
    </row>
    <row r="55" spans="1:34">
      <c r="A55" s="26">
        <v>460</v>
      </c>
      <c r="B55" s="26">
        <v>9.1999999999999993</v>
      </c>
      <c r="C55" s="27" t="s">
        <v>109</v>
      </c>
      <c r="D55" s="27" t="str">
        <f t="shared" si="13"/>
        <v>rokwzgl=0 i lp=460</v>
      </c>
      <c r="E55" s="27" t="str">
        <f t="shared" si="13"/>
        <v>rokwzgl=0 i lp=460</v>
      </c>
      <c r="F55" s="27" t="str">
        <f t="shared" si="13"/>
        <v>rokwzgl=1 i lp=460</v>
      </c>
      <c r="G55" s="27" t="str">
        <f t="shared" si="13"/>
        <v>rokwzgl=2 i lp=460</v>
      </c>
      <c r="H55" s="27" t="str">
        <f t="shared" si="13"/>
        <v>rokwzgl=3 i lp=460</v>
      </c>
      <c r="I55" s="27" t="str">
        <f t="shared" si="13"/>
        <v>rokwzgl=4 i lp=460</v>
      </c>
      <c r="J55" s="27" t="str">
        <f t="shared" si="13"/>
        <v>rokwzgl=5 i lp=460</v>
      </c>
      <c r="K55" s="27" t="str">
        <f t="shared" si="13"/>
        <v>rokwzgl=6 i lp=460</v>
      </c>
      <c r="L55" s="27" t="str">
        <f t="shared" si="13"/>
        <v>rokwzgl=7 i lp=460</v>
      </c>
      <c r="M55" s="27" t="str">
        <f t="shared" si="13"/>
        <v>rokwzgl=8 i lp=460</v>
      </c>
      <c r="N55" s="27" t="str">
        <f t="shared" si="14"/>
        <v>rokwzgl=9 i lp=460</v>
      </c>
      <c r="O55" s="27" t="str">
        <f t="shared" si="14"/>
        <v>rokwzgl=10 i lp=460</v>
      </c>
      <c r="P55" s="27" t="str">
        <f t="shared" si="14"/>
        <v>rokwzgl=11 i lp=460</v>
      </c>
      <c r="Q55" s="27" t="str">
        <f t="shared" si="14"/>
        <v>rokwzgl=12 i lp=460</v>
      </c>
      <c r="R55" s="27" t="str">
        <f t="shared" si="14"/>
        <v>rokwzgl=13 i lp=460</v>
      </c>
      <c r="S55" s="27" t="str">
        <f t="shared" si="14"/>
        <v>rokwzgl=14 i lp=460</v>
      </c>
      <c r="T55" s="27" t="str">
        <f t="shared" si="14"/>
        <v>rokwzgl=15 i lp=460</v>
      </c>
      <c r="U55" s="27" t="str">
        <f t="shared" si="14"/>
        <v>rokwzgl=16 i lp=460</v>
      </c>
      <c r="V55" s="27" t="str">
        <f t="shared" si="14"/>
        <v>rokwzgl=17 i lp=460</v>
      </c>
      <c r="W55" s="27" t="str">
        <f t="shared" si="14"/>
        <v>rokwzgl=18 i lp=460</v>
      </c>
      <c r="X55" s="27" t="str">
        <f t="shared" si="15"/>
        <v>rokwzgl=19 i lp=460</v>
      </c>
      <c r="Y55" s="27" t="str">
        <f t="shared" si="15"/>
        <v>rokwzgl=20 i lp=460</v>
      </c>
      <c r="Z55" s="27" t="str">
        <f t="shared" si="15"/>
        <v>rokwzgl=21 i lp=460</v>
      </c>
      <c r="AA55" s="27" t="str">
        <f t="shared" si="15"/>
        <v>rokwzgl=22 i lp=460</v>
      </c>
      <c r="AB55" s="27" t="str">
        <f t="shared" si="15"/>
        <v>rokwzgl=23 i lp=460</v>
      </c>
      <c r="AC55" s="27" t="str">
        <f t="shared" si="15"/>
        <v>rokwzgl=24 i lp=460</v>
      </c>
      <c r="AD55" s="27" t="str">
        <f t="shared" si="15"/>
        <v>rokwzgl=25 i lp=460</v>
      </c>
      <c r="AE55" s="27" t="str">
        <f t="shared" si="15"/>
        <v>rokwzgl=26 i lp=460</v>
      </c>
      <c r="AF55" s="27" t="str">
        <f t="shared" si="15"/>
        <v>rokwzgl=27 i lp=460</v>
      </c>
      <c r="AG55" s="27" t="str">
        <f t="shared" si="15"/>
        <v>rokwzgl=28 i lp=460</v>
      </c>
      <c r="AH55" s="27" t="str">
        <f t="shared" si="15"/>
        <v>rokwzgl=29 i lp=460</v>
      </c>
    </row>
    <row r="56" spans="1:34">
      <c r="A56" s="26">
        <v>470</v>
      </c>
      <c r="B56" s="26">
        <v>9.3000000000000007</v>
      </c>
      <c r="C56" s="27" t="s">
        <v>247</v>
      </c>
      <c r="D56" s="27" t="str">
        <f t="shared" si="13"/>
        <v>rokwzgl=0 i lp=470</v>
      </c>
      <c r="E56" s="27" t="str">
        <f t="shared" si="13"/>
        <v>rokwzgl=0 i lp=470</v>
      </c>
      <c r="F56" s="27" t="str">
        <f t="shared" si="13"/>
        <v>rokwzgl=1 i lp=470</v>
      </c>
      <c r="G56" s="27" t="str">
        <f t="shared" si="13"/>
        <v>rokwzgl=2 i lp=470</v>
      </c>
      <c r="H56" s="27" t="str">
        <f t="shared" si="13"/>
        <v>rokwzgl=3 i lp=470</v>
      </c>
      <c r="I56" s="27" t="str">
        <f t="shared" si="13"/>
        <v>rokwzgl=4 i lp=470</v>
      </c>
      <c r="J56" s="27" t="str">
        <f t="shared" si="13"/>
        <v>rokwzgl=5 i lp=470</v>
      </c>
      <c r="K56" s="27" t="str">
        <f t="shared" si="13"/>
        <v>rokwzgl=6 i lp=470</v>
      </c>
      <c r="L56" s="27" t="str">
        <f t="shared" si="13"/>
        <v>rokwzgl=7 i lp=470</v>
      </c>
      <c r="M56" s="27" t="str">
        <f t="shared" si="13"/>
        <v>rokwzgl=8 i lp=470</v>
      </c>
      <c r="N56" s="27" t="str">
        <f t="shared" si="14"/>
        <v>rokwzgl=9 i lp=470</v>
      </c>
      <c r="O56" s="27" t="str">
        <f t="shared" si="14"/>
        <v>rokwzgl=10 i lp=470</v>
      </c>
      <c r="P56" s="27" t="str">
        <f t="shared" si="14"/>
        <v>rokwzgl=11 i lp=470</v>
      </c>
      <c r="Q56" s="27" t="str">
        <f t="shared" si="14"/>
        <v>rokwzgl=12 i lp=470</v>
      </c>
      <c r="R56" s="27" t="str">
        <f t="shared" si="14"/>
        <v>rokwzgl=13 i lp=470</v>
      </c>
      <c r="S56" s="27" t="str">
        <f t="shared" si="14"/>
        <v>rokwzgl=14 i lp=470</v>
      </c>
      <c r="T56" s="27" t="str">
        <f t="shared" si="14"/>
        <v>rokwzgl=15 i lp=470</v>
      </c>
      <c r="U56" s="27" t="str">
        <f t="shared" si="14"/>
        <v>rokwzgl=16 i lp=470</v>
      </c>
      <c r="V56" s="27" t="str">
        <f t="shared" si="14"/>
        <v>rokwzgl=17 i lp=470</v>
      </c>
      <c r="W56" s="27" t="str">
        <f t="shared" si="14"/>
        <v>rokwzgl=18 i lp=470</v>
      </c>
      <c r="X56" s="27" t="str">
        <f t="shared" si="15"/>
        <v>rokwzgl=19 i lp=470</v>
      </c>
      <c r="Y56" s="27" t="str">
        <f t="shared" si="15"/>
        <v>rokwzgl=20 i lp=470</v>
      </c>
      <c r="Z56" s="27" t="str">
        <f t="shared" si="15"/>
        <v>rokwzgl=21 i lp=470</v>
      </c>
      <c r="AA56" s="27" t="str">
        <f t="shared" si="15"/>
        <v>rokwzgl=22 i lp=470</v>
      </c>
      <c r="AB56" s="27" t="str">
        <f t="shared" si="15"/>
        <v>rokwzgl=23 i lp=470</v>
      </c>
      <c r="AC56" s="27" t="str">
        <f t="shared" si="15"/>
        <v>rokwzgl=24 i lp=470</v>
      </c>
      <c r="AD56" s="27" t="str">
        <f t="shared" si="15"/>
        <v>rokwzgl=25 i lp=470</v>
      </c>
      <c r="AE56" s="27" t="str">
        <f t="shared" si="15"/>
        <v>rokwzgl=26 i lp=470</v>
      </c>
      <c r="AF56" s="27" t="str">
        <f t="shared" si="15"/>
        <v>rokwzgl=27 i lp=470</v>
      </c>
      <c r="AG56" s="27" t="str">
        <f t="shared" si="15"/>
        <v>rokwzgl=28 i lp=470</v>
      </c>
      <c r="AH56" s="27" t="str">
        <f t="shared" si="15"/>
        <v>rokwzgl=29 i lp=470</v>
      </c>
    </row>
    <row r="57" spans="1:34">
      <c r="A57" s="26">
        <v>480</v>
      </c>
      <c r="B57" s="26">
        <v>9.4</v>
      </c>
      <c r="C57" s="27" t="s">
        <v>110</v>
      </c>
      <c r="D57" s="27" t="str">
        <f t="shared" si="13"/>
        <v>rokwzgl=0 i lp=480</v>
      </c>
      <c r="E57" s="27" t="str">
        <f t="shared" si="13"/>
        <v>rokwzgl=0 i lp=480</v>
      </c>
      <c r="F57" s="27" t="str">
        <f t="shared" si="13"/>
        <v>rokwzgl=1 i lp=480</v>
      </c>
      <c r="G57" s="27" t="str">
        <f t="shared" si="13"/>
        <v>rokwzgl=2 i lp=480</v>
      </c>
      <c r="H57" s="27" t="str">
        <f t="shared" si="13"/>
        <v>rokwzgl=3 i lp=480</v>
      </c>
      <c r="I57" s="27" t="str">
        <f t="shared" si="13"/>
        <v>rokwzgl=4 i lp=480</v>
      </c>
      <c r="J57" s="27" t="str">
        <f t="shared" si="13"/>
        <v>rokwzgl=5 i lp=480</v>
      </c>
      <c r="K57" s="27" t="str">
        <f t="shared" si="13"/>
        <v>rokwzgl=6 i lp=480</v>
      </c>
      <c r="L57" s="27" t="str">
        <f t="shared" si="13"/>
        <v>rokwzgl=7 i lp=480</v>
      </c>
      <c r="M57" s="27" t="str">
        <f t="shared" si="13"/>
        <v>rokwzgl=8 i lp=480</v>
      </c>
      <c r="N57" s="27" t="str">
        <f t="shared" si="14"/>
        <v>rokwzgl=9 i lp=480</v>
      </c>
      <c r="O57" s="27" t="str">
        <f t="shared" si="14"/>
        <v>rokwzgl=10 i lp=480</v>
      </c>
      <c r="P57" s="27" t="str">
        <f t="shared" si="14"/>
        <v>rokwzgl=11 i lp=480</v>
      </c>
      <c r="Q57" s="27" t="str">
        <f t="shared" si="14"/>
        <v>rokwzgl=12 i lp=480</v>
      </c>
      <c r="R57" s="27" t="str">
        <f t="shared" si="14"/>
        <v>rokwzgl=13 i lp=480</v>
      </c>
      <c r="S57" s="27" t="str">
        <f t="shared" si="14"/>
        <v>rokwzgl=14 i lp=480</v>
      </c>
      <c r="T57" s="27" t="str">
        <f t="shared" si="14"/>
        <v>rokwzgl=15 i lp=480</v>
      </c>
      <c r="U57" s="27" t="str">
        <f t="shared" si="14"/>
        <v>rokwzgl=16 i lp=480</v>
      </c>
      <c r="V57" s="27" t="str">
        <f t="shared" si="14"/>
        <v>rokwzgl=17 i lp=480</v>
      </c>
      <c r="W57" s="27" t="str">
        <f t="shared" si="14"/>
        <v>rokwzgl=18 i lp=480</v>
      </c>
      <c r="X57" s="27" t="str">
        <f t="shared" si="15"/>
        <v>rokwzgl=19 i lp=480</v>
      </c>
      <c r="Y57" s="27" t="str">
        <f t="shared" si="15"/>
        <v>rokwzgl=20 i lp=480</v>
      </c>
      <c r="Z57" s="27" t="str">
        <f t="shared" si="15"/>
        <v>rokwzgl=21 i lp=480</v>
      </c>
      <c r="AA57" s="27" t="str">
        <f t="shared" si="15"/>
        <v>rokwzgl=22 i lp=480</v>
      </c>
      <c r="AB57" s="27" t="str">
        <f t="shared" si="15"/>
        <v>rokwzgl=23 i lp=480</v>
      </c>
      <c r="AC57" s="27" t="str">
        <f t="shared" si="15"/>
        <v>rokwzgl=24 i lp=480</v>
      </c>
      <c r="AD57" s="27" t="str">
        <f t="shared" si="15"/>
        <v>rokwzgl=25 i lp=480</v>
      </c>
      <c r="AE57" s="27" t="str">
        <f t="shared" si="15"/>
        <v>rokwzgl=26 i lp=480</v>
      </c>
      <c r="AF57" s="27" t="str">
        <f t="shared" si="15"/>
        <v>rokwzgl=27 i lp=480</v>
      </c>
      <c r="AG57" s="27" t="str">
        <f t="shared" si="15"/>
        <v>rokwzgl=28 i lp=480</v>
      </c>
      <c r="AH57" s="27" t="str">
        <f t="shared" si="15"/>
        <v>rokwzgl=29 i lp=480</v>
      </c>
    </row>
    <row r="58" spans="1:34">
      <c r="A58" s="26">
        <v>490</v>
      </c>
      <c r="B58" s="26">
        <v>9.5</v>
      </c>
      <c r="C58" s="27" t="s">
        <v>111</v>
      </c>
      <c r="D58" s="27" t="str">
        <f t="shared" si="13"/>
        <v>rokwzgl=0 i lp=490</v>
      </c>
      <c r="E58" s="27" t="str">
        <f t="shared" si="13"/>
        <v>rokwzgl=0 i lp=490</v>
      </c>
      <c r="F58" s="27" t="str">
        <f t="shared" si="13"/>
        <v>rokwzgl=1 i lp=490</v>
      </c>
      <c r="G58" s="27" t="str">
        <f t="shared" si="13"/>
        <v>rokwzgl=2 i lp=490</v>
      </c>
      <c r="H58" s="27" t="str">
        <f t="shared" si="13"/>
        <v>rokwzgl=3 i lp=490</v>
      </c>
      <c r="I58" s="27" t="str">
        <f t="shared" si="13"/>
        <v>rokwzgl=4 i lp=490</v>
      </c>
      <c r="J58" s="27" t="str">
        <f t="shared" si="13"/>
        <v>rokwzgl=5 i lp=490</v>
      </c>
      <c r="K58" s="27" t="str">
        <f t="shared" si="13"/>
        <v>rokwzgl=6 i lp=490</v>
      </c>
      <c r="L58" s="27" t="str">
        <f t="shared" si="13"/>
        <v>rokwzgl=7 i lp=490</v>
      </c>
      <c r="M58" s="27" t="str">
        <f t="shared" si="13"/>
        <v>rokwzgl=8 i lp=490</v>
      </c>
      <c r="N58" s="27" t="str">
        <f t="shared" si="14"/>
        <v>rokwzgl=9 i lp=490</v>
      </c>
      <c r="O58" s="27" t="str">
        <f t="shared" si="14"/>
        <v>rokwzgl=10 i lp=490</v>
      </c>
      <c r="P58" s="27" t="str">
        <f t="shared" si="14"/>
        <v>rokwzgl=11 i lp=490</v>
      </c>
      <c r="Q58" s="27" t="str">
        <f t="shared" si="14"/>
        <v>rokwzgl=12 i lp=490</v>
      </c>
      <c r="R58" s="27" t="str">
        <f t="shared" si="14"/>
        <v>rokwzgl=13 i lp=490</v>
      </c>
      <c r="S58" s="27" t="str">
        <f t="shared" si="14"/>
        <v>rokwzgl=14 i lp=490</v>
      </c>
      <c r="T58" s="27" t="str">
        <f t="shared" si="14"/>
        <v>rokwzgl=15 i lp=490</v>
      </c>
      <c r="U58" s="27" t="str">
        <f t="shared" si="14"/>
        <v>rokwzgl=16 i lp=490</v>
      </c>
      <c r="V58" s="27" t="str">
        <f t="shared" si="14"/>
        <v>rokwzgl=17 i lp=490</v>
      </c>
      <c r="W58" s="27" t="str">
        <f t="shared" si="14"/>
        <v>rokwzgl=18 i lp=490</v>
      </c>
      <c r="X58" s="27" t="str">
        <f t="shared" si="15"/>
        <v>rokwzgl=19 i lp=490</v>
      </c>
      <c r="Y58" s="27" t="str">
        <f t="shared" si="15"/>
        <v>rokwzgl=20 i lp=490</v>
      </c>
      <c r="Z58" s="27" t="str">
        <f t="shared" si="15"/>
        <v>rokwzgl=21 i lp=490</v>
      </c>
      <c r="AA58" s="27" t="str">
        <f t="shared" si="15"/>
        <v>rokwzgl=22 i lp=490</v>
      </c>
      <c r="AB58" s="27" t="str">
        <f t="shared" si="15"/>
        <v>rokwzgl=23 i lp=490</v>
      </c>
      <c r="AC58" s="27" t="str">
        <f t="shared" si="15"/>
        <v>rokwzgl=24 i lp=490</v>
      </c>
      <c r="AD58" s="27" t="str">
        <f t="shared" si="15"/>
        <v>rokwzgl=25 i lp=490</v>
      </c>
      <c r="AE58" s="27" t="str">
        <f t="shared" si="15"/>
        <v>rokwzgl=26 i lp=490</v>
      </c>
      <c r="AF58" s="27" t="str">
        <f t="shared" si="15"/>
        <v>rokwzgl=27 i lp=490</v>
      </c>
      <c r="AG58" s="27" t="str">
        <f t="shared" si="15"/>
        <v>rokwzgl=28 i lp=490</v>
      </c>
      <c r="AH58" s="27" t="str">
        <f t="shared" si="15"/>
        <v>rokwzgl=29 i lp=490</v>
      </c>
    </row>
    <row r="59" spans="1:34">
      <c r="A59" s="26">
        <v>500</v>
      </c>
      <c r="B59" s="26">
        <v>9.6</v>
      </c>
      <c r="C59" s="27" t="s">
        <v>112</v>
      </c>
      <c r="D59" s="27" t="str">
        <f t="shared" si="13"/>
        <v>rokwzgl=0 i lp=500</v>
      </c>
      <c r="E59" s="27" t="str">
        <f t="shared" si="13"/>
        <v>rokwzgl=0 i lp=500</v>
      </c>
      <c r="F59" s="27" t="str">
        <f t="shared" si="13"/>
        <v>rokwzgl=1 i lp=500</v>
      </c>
      <c r="G59" s="27" t="str">
        <f t="shared" si="13"/>
        <v>rokwzgl=2 i lp=500</v>
      </c>
      <c r="H59" s="27" t="str">
        <f t="shared" si="13"/>
        <v>rokwzgl=3 i lp=500</v>
      </c>
      <c r="I59" s="27" t="str">
        <f t="shared" si="13"/>
        <v>rokwzgl=4 i lp=500</v>
      </c>
      <c r="J59" s="27" t="str">
        <f t="shared" si="13"/>
        <v>rokwzgl=5 i lp=500</v>
      </c>
      <c r="K59" s="27" t="str">
        <f t="shared" si="13"/>
        <v>rokwzgl=6 i lp=500</v>
      </c>
      <c r="L59" s="27" t="str">
        <f t="shared" si="13"/>
        <v>rokwzgl=7 i lp=500</v>
      </c>
      <c r="M59" s="27" t="str">
        <f t="shared" si="13"/>
        <v>rokwzgl=8 i lp=500</v>
      </c>
      <c r="N59" s="27" t="str">
        <f t="shared" si="14"/>
        <v>rokwzgl=9 i lp=500</v>
      </c>
      <c r="O59" s="27" t="str">
        <f t="shared" si="14"/>
        <v>rokwzgl=10 i lp=500</v>
      </c>
      <c r="P59" s="27" t="str">
        <f t="shared" si="14"/>
        <v>rokwzgl=11 i lp=500</v>
      </c>
      <c r="Q59" s="27" t="str">
        <f t="shared" si="14"/>
        <v>rokwzgl=12 i lp=500</v>
      </c>
      <c r="R59" s="27" t="str">
        <f t="shared" si="14"/>
        <v>rokwzgl=13 i lp=500</v>
      </c>
      <c r="S59" s="27" t="str">
        <f t="shared" si="14"/>
        <v>rokwzgl=14 i lp=500</v>
      </c>
      <c r="T59" s="27" t="str">
        <f t="shared" si="14"/>
        <v>rokwzgl=15 i lp=500</v>
      </c>
      <c r="U59" s="27" t="str">
        <f t="shared" si="14"/>
        <v>rokwzgl=16 i lp=500</v>
      </c>
      <c r="V59" s="27" t="str">
        <f t="shared" si="14"/>
        <v>rokwzgl=17 i lp=500</v>
      </c>
      <c r="W59" s="27" t="str">
        <f t="shared" si="14"/>
        <v>rokwzgl=18 i lp=500</v>
      </c>
      <c r="X59" s="27" t="str">
        <f t="shared" si="15"/>
        <v>rokwzgl=19 i lp=500</v>
      </c>
      <c r="Y59" s="27" t="str">
        <f t="shared" si="15"/>
        <v>rokwzgl=20 i lp=500</v>
      </c>
      <c r="Z59" s="27" t="str">
        <f t="shared" si="15"/>
        <v>rokwzgl=21 i lp=500</v>
      </c>
      <c r="AA59" s="27" t="str">
        <f t="shared" si="15"/>
        <v>rokwzgl=22 i lp=500</v>
      </c>
      <c r="AB59" s="27" t="str">
        <f t="shared" si="15"/>
        <v>rokwzgl=23 i lp=500</v>
      </c>
      <c r="AC59" s="27" t="str">
        <f t="shared" si="15"/>
        <v>rokwzgl=24 i lp=500</v>
      </c>
      <c r="AD59" s="27" t="str">
        <f t="shared" si="15"/>
        <v>rokwzgl=25 i lp=500</v>
      </c>
      <c r="AE59" s="27" t="str">
        <f t="shared" si="15"/>
        <v>rokwzgl=26 i lp=500</v>
      </c>
      <c r="AF59" s="27" t="str">
        <f t="shared" si="15"/>
        <v>rokwzgl=27 i lp=500</v>
      </c>
      <c r="AG59" s="27" t="str">
        <f t="shared" si="15"/>
        <v>rokwzgl=28 i lp=500</v>
      </c>
      <c r="AH59" s="27" t="str">
        <f t="shared" si="15"/>
        <v>rokwzgl=29 i lp=500</v>
      </c>
    </row>
    <row r="60" spans="1:34">
      <c r="A60" s="26">
        <v>505</v>
      </c>
      <c r="B60" s="26" t="s">
        <v>113</v>
      </c>
      <c r="C60" s="27" t="s">
        <v>114</v>
      </c>
      <c r="D60" s="27" t="str">
        <f t="shared" ref="D60:M69" si="16">+"rokwzgl="&amp;D$9&amp;" i lp="&amp;$A60</f>
        <v>rokwzgl=0 i lp=505</v>
      </c>
      <c r="E60" s="27" t="str">
        <f t="shared" si="16"/>
        <v>rokwzgl=0 i lp=505</v>
      </c>
      <c r="F60" s="27" t="str">
        <f t="shared" si="16"/>
        <v>rokwzgl=1 i lp=505</v>
      </c>
      <c r="G60" s="27" t="str">
        <f t="shared" si="16"/>
        <v>rokwzgl=2 i lp=505</v>
      </c>
      <c r="H60" s="27" t="str">
        <f t="shared" si="16"/>
        <v>rokwzgl=3 i lp=505</v>
      </c>
      <c r="I60" s="27" t="str">
        <f t="shared" si="16"/>
        <v>rokwzgl=4 i lp=505</v>
      </c>
      <c r="J60" s="27" t="str">
        <f t="shared" si="16"/>
        <v>rokwzgl=5 i lp=505</v>
      </c>
      <c r="K60" s="27" t="str">
        <f t="shared" si="16"/>
        <v>rokwzgl=6 i lp=505</v>
      </c>
      <c r="L60" s="27" t="str">
        <f t="shared" si="16"/>
        <v>rokwzgl=7 i lp=505</v>
      </c>
      <c r="M60" s="27" t="str">
        <f t="shared" si="16"/>
        <v>rokwzgl=8 i lp=505</v>
      </c>
      <c r="N60" s="27" t="str">
        <f t="shared" ref="N60:W69" si="17">+"rokwzgl="&amp;N$9&amp;" i lp="&amp;$A60</f>
        <v>rokwzgl=9 i lp=505</v>
      </c>
      <c r="O60" s="27" t="str">
        <f t="shared" si="17"/>
        <v>rokwzgl=10 i lp=505</v>
      </c>
      <c r="P60" s="27" t="str">
        <f t="shared" si="17"/>
        <v>rokwzgl=11 i lp=505</v>
      </c>
      <c r="Q60" s="27" t="str">
        <f t="shared" si="17"/>
        <v>rokwzgl=12 i lp=505</v>
      </c>
      <c r="R60" s="27" t="str">
        <f t="shared" si="17"/>
        <v>rokwzgl=13 i lp=505</v>
      </c>
      <c r="S60" s="27" t="str">
        <f t="shared" si="17"/>
        <v>rokwzgl=14 i lp=505</v>
      </c>
      <c r="T60" s="27" t="str">
        <f t="shared" si="17"/>
        <v>rokwzgl=15 i lp=505</v>
      </c>
      <c r="U60" s="27" t="str">
        <f t="shared" si="17"/>
        <v>rokwzgl=16 i lp=505</v>
      </c>
      <c r="V60" s="27" t="str">
        <f t="shared" si="17"/>
        <v>rokwzgl=17 i lp=505</v>
      </c>
      <c r="W60" s="27" t="str">
        <f t="shared" si="17"/>
        <v>rokwzgl=18 i lp=505</v>
      </c>
      <c r="X60" s="27" t="str">
        <f t="shared" ref="X60:AH69" si="18">+"rokwzgl="&amp;X$9&amp;" i lp="&amp;$A60</f>
        <v>rokwzgl=19 i lp=505</v>
      </c>
      <c r="Y60" s="27" t="str">
        <f t="shared" si="18"/>
        <v>rokwzgl=20 i lp=505</v>
      </c>
      <c r="Z60" s="27" t="str">
        <f t="shared" si="18"/>
        <v>rokwzgl=21 i lp=505</v>
      </c>
      <c r="AA60" s="27" t="str">
        <f t="shared" si="18"/>
        <v>rokwzgl=22 i lp=505</v>
      </c>
      <c r="AB60" s="27" t="str">
        <f t="shared" si="18"/>
        <v>rokwzgl=23 i lp=505</v>
      </c>
      <c r="AC60" s="27" t="str">
        <f t="shared" si="18"/>
        <v>rokwzgl=24 i lp=505</v>
      </c>
      <c r="AD60" s="27" t="str">
        <f t="shared" si="18"/>
        <v>rokwzgl=25 i lp=505</v>
      </c>
      <c r="AE60" s="27" t="str">
        <f t="shared" si="18"/>
        <v>rokwzgl=26 i lp=505</v>
      </c>
      <c r="AF60" s="27" t="str">
        <f t="shared" si="18"/>
        <v>rokwzgl=27 i lp=505</v>
      </c>
      <c r="AG60" s="27" t="str">
        <f t="shared" si="18"/>
        <v>rokwzgl=28 i lp=505</v>
      </c>
      <c r="AH60" s="27" t="str">
        <f t="shared" si="18"/>
        <v>rokwzgl=29 i lp=505</v>
      </c>
    </row>
    <row r="61" spans="1:34">
      <c r="A61" s="26">
        <v>510</v>
      </c>
      <c r="B61" s="26">
        <v>9.6999999999999993</v>
      </c>
      <c r="C61" s="27" t="s">
        <v>115</v>
      </c>
      <c r="D61" s="27" t="str">
        <f t="shared" si="16"/>
        <v>rokwzgl=0 i lp=510</v>
      </c>
      <c r="E61" s="27" t="str">
        <f t="shared" si="16"/>
        <v>rokwzgl=0 i lp=510</v>
      </c>
      <c r="F61" s="27" t="str">
        <f t="shared" si="16"/>
        <v>rokwzgl=1 i lp=510</v>
      </c>
      <c r="G61" s="27" t="str">
        <f t="shared" si="16"/>
        <v>rokwzgl=2 i lp=510</v>
      </c>
      <c r="H61" s="27" t="str">
        <f t="shared" si="16"/>
        <v>rokwzgl=3 i lp=510</v>
      </c>
      <c r="I61" s="27" t="str">
        <f t="shared" si="16"/>
        <v>rokwzgl=4 i lp=510</v>
      </c>
      <c r="J61" s="27" t="str">
        <f t="shared" si="16"/>
        <v>rokwzgl=5 i lp=510</v>
      </c>
      <c r="K61" s="27" t="str">
        <f t="shared" si="16"/>
        <v>rokwzgl=6 i lp=510</v>
      </c>
      <c r="L61" s="27" t="str">
        <f t="shared" si="16"/>
        <v>rokwzgl=7 i lp=510</v>
      </c>
      <c r="M61" s="27" t="str">
        <f t="shared" si="16"/>
        <v>rokwzgl=8 i lp=510</v>
      </c>
      <c r="N61" s="27" t="str">
        <f t="shared" si="17"/>
        <v>rokwzgl=9 i lp=510</v>
      </c>
      <c r="O61" s="27" t="str">
        <f t="shared" si="17"/>
        <v>rokwzgl=10 i lp=510</v>
      </c>
      <c r="P61" s="27" t="str">
        <f t="shared" si="17"/>
        <v>rokwzgl=11 i lp=510</v>
      </c>
      <c r="Q61" s="27" t="str">
        <f t="shared" si="17"/>
        <v>rokwzgl=12 i lp=510</v>
      </c>
      <c r="R61" s="27" t="str">
        <f t="shared" si="17"/>
        <v>rokwzgl=13 i lp=510</v>
      </c>
      <c r="S61" s="27" t="str">
        <f t="shared" si="17"/>
        <v>rokwzgl=14 i lp=510</v>
      </c>
      <c r="T61" s="27" t="str">
        <f t="shared" si="17"/>
        <v>rokwzgl=15 i lp=510</v>
      </c>
      <c r="U61" s="27" t="str">
        <f t="shared" si="17"/>
        <v>rokwzgl=16 i lp=510</v>
      </c>
      <c r="V61" s="27" t="str">
        <f t="shared" si="17"/>
        <v>rokwzgl=17 i lp=510</v>
      </c>
      <c r="W61" s="27" t="str">
        <f t="shared" si="17"/>
        <v>rokwzgl=18 i lp=510</v>
      </c>
      <c r="X61" s="27" t="str">
        <f t="shared" si="18"/>
        <v>rokwzgl=19 i lp=510</v>
      </c>
      <c r="Y61" s="27" t="str">
        <f t="shared" si="18"/>
        <v>rokwzgl=20 i lp=510</v>
      </c>
      <c r="Z61" s="27" t="str">
        <f t="shared" si="18"/>
        <v>rokwzgl=21 i lp=510</v>
      </c>
      <c r="AA61" s="27" t="str">
        <f t="shared" si="18"/>
        <v>rokwzgl=22 i lp=510</v>
      </c>
      <c r="AB61" s="27" t="str">
        <f t="shared" si="18"/>
        <v>rokwzgl=23 i lp=510</v>
      </c>
      <c r="AC61" s="27" t="str">
        <f t="shared" si="18"/>
        <v>rokwzgl=24 i lp=510</v>
      </c>
      <c r="AD61" s="27" t="str">
        <f t="shared" si="18"/>
        <v>rokwzgl=25 i lp=510</v>
      </c>
      <c r="AE61" s="27" t="str">
        <f t="shared" si="18"/>
        <v>rokwzgl=26 i lp=510</v>
      </c>
      <c r="AF61" s="27" t="str">
        <f t="shared" si="18"/>
        <v>rokwzgl=27 i lp=510</v>
      </c>
      <c r="AG61" s="27" t="str">
        <f t="shared" si="18"/>
        <v>rokwzgl=28 i lp=510</v>
      </c>
      <c r="AH61" s="27" t="str">
        <f t="shared" si="18"/>
        <v>rokwzgl=29 i lp=510</v>
      </c>
    </row>
    <row r="62" spans="1:34">
      <c r="A62" s="26">
        <v>520</v>
      </c>
      <c r="B62" s="26" t="s">
        <v>116</v>
      </c>
      <c r="C62" s="27" t="s">
        <v>117</v>
      </c>
      <c r="D62" s="27" t="str">
        <f t="shared" si="16"/>
        <v>rokwzgl=0 i lp=520</v>
      </c>
      <c r="E62" s="27" t="str">
        <f t="shared" si="16"/>
        <v>rokwzgl=0 i lp=520</v>
      </c>
      <c r="F62" s="27" t="str">
        <f t="shared" si="16"/>
        <v>rokwzgl=1 i lp=520</v>
      </c>
      <c r="G62" s="27" t="str">
        <f t="shared" si="16"/>
        <v>rokwzgl=2 i lp=520</v>
      </c>
      <c r="H62" s="27" t="str">
        <f t="shared" si="16"/>
        <v>rokwzgl=3 i lp=520</v>
      </c>
      <c r="I62" s="27" t="str">
        <f t="shared" si="16"/>
        <v>rokwzgl=4 i lp=520</v>
      </c>
      <c r="J62" s="27" t="str">
        <f t="shared" si="16"/>
        <v>rokwzgl=5 i lp=520</v>
      </c>
      <c r="K62" s="27" t="str">
        <f t="shared" si="16"/>
        <v>rokwzgl=6 i lp=520</v>
      </c>
      <c r="L62" s="27" t="str">
        <f t="shared" si="16"/>
        <v>rokwzgl=7 i lp=520</v>
      </c>
      <c r="M62" s="27" t="str">
        <f t="shared" si="16"/>
        <v>rokwzgl=8 i lp=520</v>
      </c>
      <c r="N62" s="27" t="str">
        <f t="shared" si="17"/>
        <v>rokwzgl=9 i lp=520</v>
      </c>
      <c r="O62" s="27" t="str">
        <f t="shared" si="17"/>
        <v>rokwzgl=10 i lp=520</v>
      </c>
      <c r="P62" s="27" t="str">
        <f t="shared" si="17"/>
        <v>rokwzgl=11 i lp=520</v>
      </c>
      <c r="Q62" s="27" t="str">
        <f t="shared" si="17"/>
        <v>rokwzgl=12 i lp=520</v>
      </c>
      <c r="R62" s="27" t="str">
        <f t="shared" si="17"/>
        <v>rokwzgl=13 i lp=520</v>
      </c>
      <c r="S62" s="27" t="str">
        <f t="shared" si="17"/>
        <v>rokwzgl=14 i lp=520</v>
      </c>
      <c r="T62" s="27" t="str">
        <f t="shared" si="17"/>
        <v>rokwzgl=15 i lp=520</v>
      </c>
      <c r="U62" s="27" t="str">
        <f t="shared" si="17"/>
        <v>rokwzgl=16 i lp=520</v>
      </c>
      <c r="V62" s="27" t="str">
        <f t="shared" si="17"/>
        <v>rokwzgl=17 i lp=520</v>
      </c>
      <c r="W62" s="27" t="str">
        <f t="shared" si="17"/>
        <v>rokwzgl=18 i lp=520</v>
      </c>
      <c r="X62" s="27" t="str">
        <f t="shared" si="18"/>
        <v>rokwzgl=19 i lp=520</v>
      </c>
      <c r="Y62" s="27" t="str">
        <f t="shared" si="18"/>
        <v>rokwzgl=20 i lp=520</v>
      </c>
      <c r="Z62" s="27" t="str">
        <f t="shared" si="18"/>
        <v>rokwzgl=21 i lp=520</v>
      </c>
      <c r="AA62" s="27" t="str">
        <f t="shared" si="18"/>
        <v>rokwzgl=22 i lp=520</v>
      </c>
      <c r="AB62" s="27" t="str">
        <f t="shared" si="18"/>
        <v>rokwzgl=23 i lp=520</v>
      </c>
      <c r="AC62" s="27" t="str">
        <f t="shared" si="18"/>
        <v>rokwzgl=24 i lp=520</v>
      </c>
      <c r="AD62" s="27" t="str">
        <f t="shared" si="18"/>
        <v>rokwzgl=25 i lp=520</v>
      </c>
      <c r="AE62" s="27" t="str">
        <f t="shared" si="18"/>
        <v>rokwzgl=26 i lp=520</v>
      </c>
      <c r="AF62" s="27" t="str">
        <f t="shared" si="18"/>
        <v>rokwzgl=27 i lp=520</v>
      </c>
      <c r="AG62" s="27" t="str">
        <f t="shared" si="18"/>
        <v>rokwzgl=28 i lp=520</v>
      </c>
      <c r="AH62" s="27" t="str">
        <f t="shared" si="18"/>
        <v>rokwzgl=29 i lp=520</v>
      </c>
    </row>
    <row r="63" spans="1:34">
      <c r="A63" s="26">
        <v>530</v>
      </c>
      <c r="B63" s="26">
        <v>9.8000000000000007</v>
      </c>
      <c r="C63" s="27" t="s">
        <v>118</v>
      </c>
      <c r="D63" s="27" t="str">
        <f t="shared" si="16"/>
        <v>rokwzgl=0 i lp=530</v>
      </c>
      <c r="E63" s="27" t="str">
        <f t="shared" si="16"/>
        <v>rokwzgl=0 i lp=530</v>
      </c>
      <c r="F63" s="27" t="str">
        <f t="shared" si="16"/>
        <v>rokwzgl=1 i lp=530</v>
      </c>
      <c r="G63" s="27" t="str">
        <f t="shared" si="16"/>
        <v>rokwzgl=2 i lp=530</v>
      </c>
      <c r="H63" s="27" t="str">
        <f t="shared" si="16"/>
        <v>rokwzgl=3 i lp=530</v>
      </c>
      <c r="I63" s="27" t="str">
        <f t="shared" si="16"/>
        <v>rokwzgl=4 i lp=530</v>
      </c>
      <c r="J63" s="27" t="str">
        <f t="shared" si="16"/>
        <v>rokwzgl=5 i lp=530</v>
      </c>
      <c r="K63" s="27" t="str">
        <f t="shared" si="16"/>
        <v>rokwzgl=6 i lp=530</v>
      </c>
      <c r="L63" s="27" t="str">
        <f t="shared" si="16"/>
        <v>rokwzgl=7 i lp=530</v>
      </c>
      <c r="M63" s="27" t="str">
        <f t="shared" si="16"/>
        <v>rokwzgl=8 i lp=530</v>
      </c>
      <c r="N63" s="27" t="str">
        <f t="shared" si="17"/>
        <v>rokwzgl=9 i lp=530</v>
      </c>
      <c r="O63" s="27" t="str">
        <f t="shared" si="17"/>
        <v>rokwzgl=10 i lp=530</v>
      </c>
      <c r="P63" s="27" t="str">
        <f t="shared" si="17"/>
        <v>rokwzgl=11 i lp=530</v>
      </c>
      <c r="Q63" s="27" t="str">
        <f t="shared" si="17"/>
        <v>rokwzgl=12 i lp=530</v>
      </c>
      <c r="R63" s="27" t="str">
        <f t="shared" si="17"/>
        <v>rokwzgl=13 i lp=530</v>
      </c>
      <c r="S63" s="27" t="str">
        <f t="shared" si="17"/>
        <v>rokwzgl=14 i lp=530</v>
      </c>
      <c r="T63" s="27" t="str">
        <f t="shared" si="17"/>
        <v>rokwzgl=15 i lp=530</v>
      </c>
      <c r="U63" s="27" t="str">
        <f t="shared" si="17"/>
        <v>rokwzgl=16 i lp=530</v>
      </c>
      <c r="V63" s="27" t="str">
        <f t="shared" si="17"/>
        <v>rokwzgl=17 i lp=530</v>
      </c>
      <c r="W63" s="27" t="str">
        <f t="shared" si="17"/>
        <v>rokwzgl=18 i lp=530</v>
      </c>
      <c r="X63" s="27" t="str">
        <f t="shared" si="18"/>
        <v>rokwzgl=19 i lp=530</v>
      </c>
      <c r="Y63" s="27" t="str">
        <f t="shared" si="18"/>
        <v>rokwzgl=20 i lp=530</v>
      </c>
      <c r="Z63" s="27" t="str">
        <f t="shared" si="18"/>
        <v>rokwzgl=21 i lp=530</v>
      </c>
      <c r="AA63" s="27" t="str">
        <f t="shared" si="18"/>
        <v>rokwzgl=22 i lp=530</v>
      </c>
      <c r="AB63" s="27" t="str">
        <f t="shared" si="18"/>
        <v>rokwzgl=23 i lp=530</v>
      </c>
      <c r="AC63" s="27" t="str">
        <f t="shared" si="18"/>
        <v>rokwzgl=24 i lp=530</v>
      </c>
      <c r="AD63" s="27" t="str">
        <f t="shared" si="18"/>
        <v>rokwzgl=25 i lp=530</v>
      </c>
      <c r="AE63" s="27" t="str">
        <f t="shared" si="18"/>
        <v>rokwzgl=26 i lp=530</v>
      </c>
      <c r="AF63" s="27" t="str">
        <f t="shared" si="18"/>
        <v>rokwzgl=27 i lp=530</v>
      </c>
      <c r="AG63" s="27" t="str">
        <f t="shared" si="18"/>
        <v>rokwzgl=28 i lp=530</v>
      </c>
      <c r="AH63" s="27" t="str">
        <f t="shared" si="18"/>
        <v>rokwzgl=29 i lp=530</v>
      </c>
    </row>
    <row r="64" spans="1:34">
      <c r="A64" s="26">
        <v>540</v>
      </c>
      <c r="B64" s="26" t="s">
        <v>119</v>
      </c>
      <c r="C64" s="27" t="s">
        <v>120</v>
      </c>
      <c r="D64" s="27" t="str">
        <f t="shared" si="16"/>
        <v>rokwzgl=0 i lp=540</v>
      </c>
      <c r="E64" s="27" t="str">
        <f t="shared" si="16"/>
        <v>rokwzgl=0 i lp=540</v>
      </c>
      <c r="F64" s="27" t="str">
        <f t="shared" si="16"/>
        <v>rokwzgl=1 i lp=540</v>
      </c>
      <c r="G64" s="27" t="str">
        <f t="shared" si="16"/>
        <v>rokwzgl=2 i lp=540</v>
      </c>
      <c r="H64" s="27" t="str">
        <f t="shared" si="16"/>
        <v>rokwzgl=3 i lp=540</v>
      </c>
      <c r="I64" s="27" t="str">
        <f t="shared" si="16"/>
        <v>rokwzgl=4 i lp=540</v>
      </c>
      <c r="J64" s="27" t="str">
        <f t="shared" si="16"/>
        <v>rokwzgl=5 i lp=540</v>
      </c>
      <c r="K64" s="27" t="str">
        <f t="shared" si="16"/>
        <v>rokwzgl=6 i lp=540</v>
      </c>
      <c r="L64" s="27" t="str">
        <f t="shared" si="16"/>
        <v>rokwzgl=7 i lp=540</v>
      </c>
      <c r="M64" s="27" t="str">
        <f t="shared" si="16"/>
        <v>rokwzgl=8 i lp=540</v>
      </c>
      <c r="N64" s="27" t="str">
        <f t="shared" si="17"/>
        <v>rokwzgl=9 i lp=540</v>
      </c>
      <c r="O64" s="27" t="str">
        <f t="shared" si="17"/>
        <v>rokwzgl=10 i lp=540</v>
      </c>
      <c r="P64" s="27" t="str">
        <f t="shared" si="17"/>
        <v>rokwzgl=11 i lp=540</v>
      </c>
      <c r="Q64" s="27" t="str">
        <f t="shared" si="17"/>
        <v>rokwzgl=12 i lp=540</v>
      </c>
      <c r="R64" s="27" t="str">
        <f t="shared" si="17"/>
        <v>rokwzgl=13 i lp=540</v>
      </c>
      <c r="S64" s="27" t="str">
        <f t="shared" si="17"/>
        <v>rokwzgl=14 i lp=540</v>
      </c>
      <c r="T64" s="27" t="str">
        <f t="shared" si="17"/>
        <v>rokwzgl=15 i lp=540</v>
      </c>
      <c r="U64" s="27" t="str">
        <f t="shared" si="17"/>
        <v>rokwzgl=16 i lp=540</v>
      </c>
      <c r="V64" s="27" t="str">
        <f t="shared" si="17"/>
        <v>rokwzgl=17 i lp=540</v>
      </c>
      <c r="W64" s="27" t="str">
        <f t="shared" si="17"/>
        <v>rokwzgl=18 i lp=540</v>
      </c>
      <c r="X64" s="27" t="str">
        <f t="shared" si="18"/>
        <v>rokwzgl=19 i lp=540</v>
      </c>
      <c r="Y64" s="27" t="str">
        <f t="shared" si="18"/>
        <v>rokwzgl=20 i lp=540</v>
      </c>
      <c r="Z64" s="27" t="str">
        <f t="shared" si="18"/>
        <v>rokwzgl=21 i lp=540</v>
      </c>
      <c r="AA64" s="27" t="str">
        <f t="shared" si="18"/>
        <v>rokwzgl=22 i lp=540</v>
      </c>
      <c r="AB64" s="27" t="str">
        <f t="shared" si="18"/>
        <v>rokwzgl=23 i lp=540</v>
      </c>
      <c r="AC64" s="27" t="str">
        <f t="shared" si="18"/>
        <v>rokwzgl=24 i lp=540</v>
      </c>
      <c r="AD64" s="27" t="str">
        <f t="shared" si="18"/>
        <v>rokwzgl=25 i lp=540</v>
      </c>
      <c r="AE64" s="27" t="str">
        <f t="shared" si="18"/>
        <v>rokwzgl=26 i lp=540</v>
      </c>
      <c r="AF64" s="27" t="str">
        <f t="shared" si="18"/>
        <v>rokwzgl=27 i lp=540</v>
      </c>
      <c r="AG64" s="27" t="str">
        <f t="shared" si="18"/>
        <v>rokwzgl=28 i lp=540</v>
      </c>
      <c r="AH64" s="27" t="str">
        <f t="shared" si="18"/>
        <v>rokwzgl=29 i lp=540</v>
      </c>
    </row>
    <row r="65" spans="1:34">
      <c r="A65" s="26">
        <v>550</v>
      </c>
      <c r="B65" s="26">
        <v>10</v>
      </c>
      <c r="C65" s="27" t="s">
        <v>121</v>
      </c>
      <c r="D65" s="27" t="str">
        <f t="shared" si="16"/>
        <v>rokwzgl=0 i lp=550</v>
      </c>
      <c r="E65" s="27" t="str">
        <f t="shared" si="16"/>
        <v>rokwzgl=0 i lp=550</v>
      </c>
      <c r="F65" s="27" t="str">
        <f t="shared" si="16"/>
        <v>rokwzgl=1 i lp=550</v>
      </c>
      <c r="G65" s="27" t="str">
        <f t="shared" si="16"/>
        <v>rokwzgl=2 i lp=550</v>
      </c>
      <c r="H65" s="27" t="str">
        <f t="shared" si="16"/>
        <v>rokwzgl=3 i lp=550</v>
      </c>
      <c r="I65" s="27" t="str">
        <f t="shared" si="16"/>
        <v>rokwzgl=4 i lp=550</v>
      </c>
      <c r="J65" s="27" t="str">
        <f t="shared" si="16"/>
        <v>rokwzgl=5 i lp=550</v>
      </c>
      <c r="K65" s="27" t="str">
        <f t="shared" si="16"/>
        <v>rokwzgl=6 i lp=550</v>
      </c>
      <c r="L65" s="27" t="str">
        <f t="shared" si="16"/>
        <v>rokwzgl=7 i lp=550</v>
      </c>
      <c r="M65" s="27" t="str">
        <f t="shared" si="16"/>
        <v>rokwzgl=8 i lp=550</v>
      </c>
      <c r="N65" s="27" t="str">
        <f t="shared" si="17"/>
        <v>rokwzgl=9 i lp=550</v>
      </c>
      <c r="O65" s="27" t="str">
        <f t="shared" si="17"/>
        <v>rokwzgl=10 i lp=550</v>
      </c>
      <c r="P65" s="27" t="str">
        <f t="shared" si="17"/>
        <v>rokwzgl=11 i lp=550</v>
      </c>
      <c r="Q65" s="27" t="str">
        <f t="shared" si="17"/>
        <v>rokwzgl=12 i lp=550</v>
      </c>
      <c r="R65" s="27" t="str">
        <f t="shared" si="17"/>
        <v>rokwzgl=13 i lp=550</v>
      </c>
      <c r="S65" s="27" t="str">
        <f t="shared" si="17"/>
        <v>rokwzgl=14 i lp=550</v>
      </c>
      <c r="T65" s="27" t="str">
        <f t="shared" si="17"/>
        <v>rokwzgl=15 i lp=550</v>
      </c>
      <c r="U65" s="27" t="str">
        <f t="shared" si="17"/>
        <v>rokwzgl=16 i lp=550</v>
      </c>
      <c r="V65" s="27" t="str">
        <f t="shared" si="17"/>
        <v>rokwzgl=17 i lp=550</v>
      </c>
      <c r="W65" s="27" t="str">
        <f t="shared" si="17"/>
        <v>rokwzgl=18 i lp=550</v>
      </c>
      <c r="X65" s="27" t="str">
        <f t="shared" si="18"/>
        <v>rokwzgl=19 i lp=550</v>
      </c>
      <c r="Y65" s="27" t="str">
        <f t="shared" si="18"/>
        <v>rokwzgl=20 i lp=550</v>
      </c>
      <c r="Z65" s="27" t="str">
        <f t="shared" si="18"/>
        <v>rokwzgl=21 i lp=550</v>
      </c>
      <c r="AA65" s="27" t="str">
        <f t="shared" si="18"/>
        <v>rokwzgl=22 i lp=550</v>
      </c>
      <c r="AB65" s="27" t="str">
        <f t="shared" si="18"/>
        <v>rokwzgl=23 i lp=550</v>
      </c>
      <c r="AC65" s="27" t="str">
        <f t="shared" si="18"/>
        <v>rokwzgl=24 i lp=550</v>
      </c>
      <c r="AD65" s="27" t="str">
        <f t="shared" si="18"/>
        <v>rokwzgl=25 i lp=550</v>
      </c>
      <c r="AE65" s="27" t="str">
        <f t="shared" si="18"/>
        <v>rokwzgl=26 i lp=550</v>
      </c>
      <c r="AF65" s="27" t="str">
        <f t="shared" si="18"/>
        <v>rokwzgl=27 i lp=550</v>
      </c>
      <c r="AG65" s="27" t="str">
        <f t="shared" si="18"/>
        <v>rokwzgl=28 i lp=550</v>
      </c>
      <c r="AH65" s="27" t="str">
        <f t="shared" si="18"/>
        <v>rokwzgl=29 i lp=550</v>
      </c>
    </row>
    <row r="66" spans="1:34">
      <c r="A66" s="26">
        <v>560</v>
      </c>
      <c r="B66" s="26">
        <v>10.1</v>
      </c>
      <c r="C66" s="27" t="s">
        <v>122</v>
      </c>
      <c r="D66" s="27" t="str">
        <f t="shared" si="16"/>
        <v>rokwzgl=0 i lp=560</v>
      </c>
      <c r="E66" s="27" t="str">
        <f t="shared" si="16"/>
        <v>rokwzgl=0 i lp=560</v>
      </c>
      <c r="F66" s="27" t="str">
        <f t="shared" si="16"/>
        <v>rokwzgl=1 i lp=560</v>
      </c>
      <c r="G66" s="27" t="str">
        <f t="shared" si="16"/>
        <v>rokwzgl=2 i lp=560</v>
      </c>
      <c r="H66" s="27" t="str">
        <f t="shared" si="16"/>
        <v>rokwzgl=3 i lp=560</v>
      </c>
      <c r="I66" s="27" t="str">
        <f t="shared" si="16"/>
        <v>rokwzgl=4 i lp=560</v>
      </c>
      <c r="J66" s="27" t="str">
        <f t="shared" si="16"/>
        <v>rokwzgl=5 i lp=560</v>
      </c>
      <c r="K66" s="27" t="str">
        <f t="shared" si="16"/>
        <v>rokwzgl=6 i lp=560</v>
      </c>
      <c r="L66" s="27" t="str">
        <f t="shared" si="16"/>
        <v>rokwzgl=7 i lp=560</v>
      </c>
      <c r="M66" s="27" t="str">
        <f t="shared" si="16"/>
        <v>rokwzgl=8 i lp=560</v>
      </c>
      <c r="N66" s="27" t="str">
        <f t="shared" si="17"/>
        <v>rokwzgl=9 i lp=560</v>
      </c>
      <c r="O66" s="27" t="str">
        <f t="shared" si="17"/>
        <v>rokwzgl=10 i lp=560</v>
      </c>
      <c r="P66" s="27" t="str">
        <f t="shared" si="17"/>
        <v>rokwzgl=11 i lp=560</v>
      </c>
      <c r="Q66" s="27" t="str">
        <f t="shared" si="17"/>
        <v>rokwzgl=12 i lp=560</v>
      </c>
      <c r="R66" s="27" t="str">
        <f t="shared" si="17"/>
        <v>rokwzgl=13 i lp=560</v>
      </c>
      <c r="S66" s="27" t="str">
        <f t="shared" si="17"/>
        <v>rokwzgl=14 i lp=560</v>
      </c>
      <c r="T66" s="27" t="str">
        <f t="shared" si="17"/>
        <v>rokwzgl=15 i lp=560</v>
      </c>
      <c r="U66" s="27" t="str">
        <f t="shared" si="17"/>
        <v>rokwzgl=16 i lp=560</v>
      </c>
      <c r="V66" s="27" t="str">
        <f t="shared" si="17"/>
        <v>rokwzgl=17 i lp=560</v>
      </c>
      <c r="W66" s="27" t="str">
        <f t="shared" si="17"/>
        <v>rokwzgl=18 i lp=560</v>
      </c>
      <c r="X66" s="27" t="str">
        <f t="shared" si="18"/>
        <v>rokwzgl=19 i lp=560</v>
      </c>
      <c r="Y66" s="27" t="str">
        <f t="shared" si="18"/>
        <v>rokwzgl=20 i lp=560</v>
      </c>
      <c r="Z66" s="27" t="str">
        <f t="shared" si="18"/>
        <v>rokwzgl=21 i lp=560</v>
      </c>
      <c r="AA66" s="27" t="str">
        <f t="shared" si="18"/>
        <v>rokwzgl=22 i lp=560</v>
      </c>
      <c r="AB66" s="27" t="str">
        <f t="shared" si="18"/>
        <v>rokwzgl=23 i lp=560</v>
      </c>
      <c r="AC66" s="27" t="str">
        <f t="shared" si="18"/>
        <v>rokwzgl=24 i lp=560</v>
      </c>
      <c r="AD66" s="27" t="str">
        <f t="shared" si="18"/>
        <v>rokwzgl=25 i lp=560</v>
      </c>
      <c r="AE66" s="27" t="str">
        <f t="shared" si="18"/>
        <v>rokwzgl=26 i lp=560</v>
      </c>
      <c r="AF66" s="27" t="str">
        <f t="shared" si="18"/>
        <v>rokwzgl=27 i lp=560</v>
      </c>
      <c r="AG66" s="27" t="str">
        <f t="shared" si="18"/>
        <v>rokwzgl=28 i lp=560</v>
      </c>
      <c r="AH66" s="27" t="str">
        <f t="shared" si="18"/>
        <v>rokwzgl=29 i lp=560</v>
      </c>
    </row>
    <row r="67" spans="1:34">
      <c r="A67" s="26">
        <v>570</v>
      </c>
      <c r="B67" s="26">
        <v>11</v>
      </c>
      <c r="C67" s="27" t="s">
        <v>123</v>
      </c>
      <c r="D67" s="27" t="str">
        <f t="shared" si="16"/>
        <v>rokwzgl=0 i lp=570</v>
      </c>
      <c r="E67" s="27" t="str">
        <f t="shared" si="16"/>
        <v>rokwzgl=0 i lp=570</v>
      </c>
      <c r="F67" s="27" t="str">
        <f t="shared" si="16"/>
        <v>rokwzgl=1 i lp=570</v>
      </c>
      <c r="G67" s="27" t="str">
        <f t="shared" si="16"/>
        <v>rokwzgl=2 i lp=570</v>
      </c>
      <c r="H67" s="27" t="str">
        <f t="shared" si="16"/>
        <v>rokwzgl=3 i lp=570</v>
      </c>
      <c r="I67" s="27" t="str">
        <f t="shared" si="16"/>
        <v>rokwzgl=4 i lp=570</v>
      </c>
      <c r="J67" s="27" t="str">
        <f t="shared" si="16"/>
        <v>rokwzgl=5 i lp=570</v>
      </c>
      <c r="K67" s="27" t="str">
        <f t="shared" si="16"/>
        <v>rokwzgl=6 i lp=570</v>
      </c>
      <c r="L67" s="27" t="str">
        <f t="shared" si="16"/>
        <v>rokwzgl=7 i lp=570</v>
      </c>
      <c r="M67" s="27" t="str">
        <f t="shared" si="16"/>
        <v>rokwzgl=8 i lp=570</v>
      </c>
      <c r="N67" s="27" t="str">
        <f t="shared" si="17"/>
        <v>rokwzgl=9 i lp=570</v>
      </c>
      <c r="O67" s="27" t="str">
        <f t="shared" si="17"/>
        <v>rokwzgl=10 i lp=570</v>
      </c>
      <c r="P67" s="27" t="str">
        <f t="shared" si="17"/>
        <v>rokwzgl=11 i lp=570</v>
      </c>
      <c r="Q67" s="27" t="str">
        <f t="shared" si="17"/>
        <v>rokwzgl=12 i lp=570</v>
      </c>
      <c r="R67" s="27" t="str">
        <f t="shared" si="17"/>
        <v>rokwzgl=13 i lp=570</v>
      </c>
      <c r="S67" s="27" t="str">
        <f t="shared" si="17"/>
        <v>rokwzgl=14 i lp=570</v>
      </c>
      <c r="T67" s="27" t="str">
        <f t="shared" si="17"/>
        <v>rokwzgl=15 i lp=570</v>
      </c>
      <c r="U67" s="27" t="str">
        <f t="shared" si="17"/>
        <v>rokwzgl=16 i lp=570</v>
      </c>
      <c r="V67" s="27" t="str">
        <f t="shared" si="17"/>
        <v>rokwzgl=17 i lp=570</v>
      </c>
      <c r="W67" s="27" t="str">
        <f t="shared" si="17"/>
        <v>rokwzgl=18 i lp=570</v>
      </c>
      <c r="X67" s="27" t="str">
        <f t="shared" si="18"/>
        <v>rokwzgl=19 i lp=570</v>
      </c>
      <c r="Y67" s="27" t="str">
        <f t="shared" si="18"/>
        <v>rokwzgl=20 i lp=570</v>
      </c>
      <c r="Z67" s="27" t="str">
        <f t="shared" si="18"/>
        <v>rokwzgl=21 i lp=570</v>
      </c>
      <c r="AA67" s="27" t="str">
        <f t="shared" si="18"/>
        <v>rokwzgl=22 i lp=570</v>
      </c>
      <c r="AB67" s="27" t="str">
        <f t="shared" si="18"/>
        <v>rokwzgl=23 i lp=570</v>
      </c>
      <c r="AC67" s="27" t="str">
        <f t="shared" si="18"/>
        <v>rokwzgl=24 i lp=570</v>
      </c>
      <c r="AD67" s="27" t="str">
        <f t="shared" si="18"/>
        <v>rokwzgl=25 i lp=570</v>
      </c>
      <c r="AE67" s="27" t="str">
        <f t="shared" si="18"/>
        <v>rokwzgl=26 i lp=570</v>
      </c>
      <c r="AF67" s="27" t="str">
        <f t="shared" si="18"/>
        <v>rokwzgl=27 i lp=570</v>
      </c>
      <c r="AG67" s="27" t="str">
        <f t="shared" si="18"/>
        <v>rokwzgl=28 i lp=570</v>
      </c>
      <c r="AH67" s="27" t="str">
        <f t="shared" si="18"/>
        <v>rokwzgl=29 i lp=570</v>
      </c>
    </row>
    <row r="68" spans="1:34">
      <c r="A68" s="26">
        <v>580</v>
      </c>
      <c r="B68" s="26">
        <v>11.1</v>
      </c>
      <c r="C68" s="27" t="s">
        <v>124</v>
      </c>
      <c r="D68" s="27" t="str">
        <f t="shared" si="16"/>
        <v>rokwzgl=0 i lp=580</v>
      </c>
      <c r="E68" s="27" t="str">
        <f t="shared" si="16"/>
        <v>rokwzgl=0 i lp=580</v>
      </c>
      <c r="F68" s="27" t="str">
        <f t="shared" si="16"/>
        <v>rokwzgl=1 i lp=580</v>
      </c>
      <c r="G68" s="27" t="str">
        <f t="shared" si="16"/>
        <v>rokwzgl=2 i lp=580</v>
      </c>
      <c r="H68" s="27" t="str">
        <f t="shared" si="16"/>
        <v>rokwzgl=3 i lp=580</v>
      </c>
      <c r="I68" s="27" t="str">
        <f t="shared" si="16"/>
        <v>rokwzgl=4 i lp=580</v>
      </c>
      <c r="J68" s="27" t="str">
        <f t="shared" si="16"/>
        <v>rokwzgl=5 i lp=580</v>
      </c>
      <c r="K68" s="27" t="str">
        <f t="shared" si="16"/>
        <v>rokwzgl=6 i lp=580</v>
      </c>
      <c r="L68" s="27" t="str">
        <f t="shared" si="16"/>
        <v>rokwzgl=7 i lp=580</v>
      </c>
      <c r="M68" s="27" t="str">
        <f t="shared" si="16"/>
        <v>rokwzgl=8 i lp=580</v>
      </c>
      <c r="N68" s="27" t="str">
        <f t="shared" si="17"/>
        <v>rokwzgl=9 i lp=580</v>
      </c>
      <c r="O68" s="27" t="str">
        <f t="shared" si="17"/>
        <v>rokwzgl=10 i lp=580</v>
      </c>
      <c r="P68" s="27" t="str">
        <f t="shared" si="17"/>
        <v>rokwzgl=11 i lp=580</v>
      </c>
      <c r="Q68" s="27" t="str">
        <f t="shared" si="17"/>
        <v>rokwzgl=12 i lp=580</v>
      </c>
      <c r="R68" s="27" t="str">
        <f t="shared" si="17"/>
        <v>rokwzgl=13 i lp=580</v>
      </c>
      <c r="S68" s="27" t="str">
        <f t="shared" si="17"/>
        <v>rokwzgl=14 i lp=580</v>
      </c>
      <c r="T68" s="27" t="str">
        <f t="shared" si="17"/>
        <v>rokwzgl=15 i lp=580</v>
      </c>
      <c r="U68" s="27" t="str">
        <f t="shared" si="17"/>
        <v>rokwzgl=16 i lp=580</v>
      </c>
      <c r="V68" s="27" t="str">
        <f t="shared" si="17"/>
        <v>rokwzgl=17 i lp=580</v>
      </c>
      <c r="W68" s="27" t="str">
        <f t="shared" si="17"/>
        <v>rokwzgl=18 i lp=580</v>
      </c>
      <c r="X68" s="27" t="str">
        <f t="shared" si="18"/>
        <v>rokwzgl=19 i lp=580</v>
      </c>
      <c r="Y68" s="27" t="str">
        <f t="shared" si="18"/>
        <v>rokwzgl=20 i lp=580</v>
      </c>
      <c r="Z68" s="27" t="str">
        <f t="shared" si="18"/>
        <v>rokwzgl=21 i lp=580</v>
      </c>
      <c r="AA68" s="27" t="str">
        <f t="shared" si="18"/>
        <v>rokwzgl=22 i lp=580</v>
      </c>
      <c r="AB68" s="27" t="str">
        <f t="shared" si="18"/>
        <v>rokwzgl=23 i lp=580</v>
      </c>
      <c r="AC68" s="27" t="str">
        <f t="shared" si="18"/>
        <v>rokwzgl=24 i lp=580</v>
      </c>
      <c r="AD68" s="27" t="str">
        <f t="shared" si="18"/>
        <v>rokwzgl=25 i lp=580</v>
      </c>
      <c r="AE68" s="27" t="str">
        <f t="shared" si="18"/>
        <v>rokwzgl=26 i lp=580</v>
      </c>
      <c r="AF68" s="27" t="str">
        <f t="shared" si="18"/>
        <v>rokwzgl=27 i lp=580</v>
      </c>
      <c r="AG68" s="27" t="str">
        <f t="shared" si="18"/>
        <v>rokwzgl=28 i lp=580</v>
      </c>
      <c r="AH68" s="27" t="str">
        <f t="shared" si="18"/>
        <v>rokwzgl=29 i lp=580</v>
      </c>
    </row>
    <row r="69" spans="1:34">
      <c r="A69" s="26">
        <v>590</v>
      </c>
      <c r="B69" s="26">
        <v>11.2</v>
      </c>
      <c r="C69" s="27" t="s">
        <v>125</v>
      </c>
      <c r="D69" s="27" t="str">
        <f t="shared" si="16"/>
        <v>rokwzgl=0 i lp=590</v>
      </c>
      <c r="E69" s="27" t="str">
        <f t="shared" si="16"/>
        <v>rokwzgl=0 i lp=590</v>
      </c>
      <c r="F69" s="27" t="str">
        <f t="shared" si="16"/>
        <v>rokwzgl=1 i lp=590</v>
      </c>
      <c r="G69" s="27" t="str">
        <f t="shared" si="16"/>
        <v>rokwzgl=2 i lp=590</v>
      </c>
      <c r="H69" s="27" t="str">
        <f t="shared" si="16"/>
        <v>rokwzgl=3 i lp=590</v>
      </c>
      <c r="I69" s="27" t="str">
        <f t="shared" si="16"/>
        <v>rokwzgl=4 i lp=590</v>
      </c>
      <c r="J69" s="27" t="str">
        <f t="shared" si="16"/>
        <v>rokwzgl=5 i lp=590</v>
      </c>
      <c r="K69" s="27" t="str">
        <f t="shared" si="16"/>
        <v>rokwzgl=6 i lp=590</v>
      </c>
      <c r="L69" s="27" t="str">
        <f t="shared" si="16"/>
        <v>rokwzgl=7 i lp=590</v>
      </c>
      <c r="M69" s="27" t="str">
        <f t="shared" si="16"/>
        <v>rokwzgl=8 i lp=590</v>
      </c>
      <c r="N69" s="27" t="str">
        <f t="shared" si="17"/>
        <v>rokwzgl=9 i lp=590</v>
      </c>
      <c r="O69" s="27" t="str">
        <f t="shared" si="17"/>
        <v>rokwzgl=10 i lp=590</v>
      </c>
      <c r="P69" s="27" t="str">
        <f t="shared" si="17"/>
        <v>rokwzgl=11 i lp=590</v>
      </c>
      <c r="Q69" s="27" t="str">
        <f t="shared" si="17"/>
        <v>rokwzgl=12 i lp=590</v>
      </c>
      <c r="R69" s="27" t="str">
        <f t="shared" si="17"/>
        <v>rokwzgl=13 i lp=590</v>
      </c>
      <c r="S69" s="27" t="str">
        <f t="shared" si="17"/>
        <v>rokwzgl=14 i lp=590</v>
      </c>
      <c r="T69" s="27" t="str">
        <f t="shared" si="17"/>
        <v>rokwzgl=15 i lp=590</v>
      </c>
      <c r="U69" s="27" t="str">
        <f t="shared" si="17"/>
        <v>rokwzgl=16 i lp=590</v>
      </c>
      <c r="V69" s="27" t="str">
        <f t="shared" si="17"/>
        <v>rokwzgl=17 i lp=590</v>
      </c>
      <c r="W69" s="27" t="str">
        <f t="shared" si="17"/>
        <v>rokwzgl=18 i lp=590</v>
      </c>
      <c r="X69" s="27" t="str">
        <f t="shared" si="18"/>
        <v>rokwzgl=19 i lp=590</v>
      </c>
      <c r="Y69" s="27" t="str">
        <f t="shared" si="18"/>
        <v>rokwzgl=20 i lp=590</v>
      </c>
      <c r="Z69" s="27" t="str">
        <f t="shared" si="18"/>
        <v>rokwzgl=21 i lp=590</v>
      </c>
      <c r="AA69" s="27" t="str">
        <f t="shared" si="18"/>
        <v>rokwzgl=22 i lp=590</v>
      </c>
      <c r="AB69" s="27" t="str">
        <f t="shared" si="18"/>
        <v>rokwzgl=23 i lp=590</v>
      </c>
      <c r="AC69" s="27" t="str">
        <f t="shared" si="18"/>
        <v>rokwzgl=24 i lp=590</v>
      </c>
      <c r="AD69" s="27" t="str">
        <f t="shared" si="18"/>
        <v>rokwzgl=25 i lp=590</v>
      </c>
      <c r="AE69" s="27" t="str">
        <f t="shared" si="18"/>
        <v>rokwzgl=26 i lp=590</v>
      </c>
      <c r="AF69" s="27" t="str">
        <f t="shared" si="18"/>
        <v>rokwzgl=27 i lp=590</v>
      </c>
      <c r="AG69" s="27" t="str">
        <f t="shared" si="18"/>
        <v>rokwzgl=28 i lp=590</v>
      </c>
      <c r="AH69" s="27" t="str">
        <f t="shared" si="18"/>
        <v>rokwzgl=29 i lp=590</v>
      </c>
    </row>
    <row r="70" spans="1:34">
      <c r="A70" s="26">
        <v>600</v>
      </c>
      <c r="B70" s="26">
        <v>11.3</v>
      </c>
      <c r="C70" s="27" t="s">
        <v>126</v>
      </c>
      <c r="D70" s="27" t="str">
        <f t="shared" ref="D70:M79" si="19">+"rokwzgl="&amp;D$9&amp;" i lp="&amp;$A70</f>
        <v>rokwzgl=0 i lp=600</v>
      </c>
      <c r="E70" s="27" t="str">
        <f t="shared" si="19"/>
        <v>rokwzgl=0 i lp=600</v>
      </c>
      <c r="F70" s="27" t="str">
        <f t="shared" si="19"/>
        <v>rokwzgl=1 i lp=600</v>
      </c>
      <c r="G70" s="27" t="str">
        <f t="shared" si="19"/>
        <v>rokwzgl=2 i lp=600</v>
      </c>
      <c r="H70" s="27" t="str">
        <f t="shared" si="19"/>
        <v>rokwzgl=3 i lp=600</v>
      </c>
      <c r="I70" s="27" t="str">
        <f t="shared" si="19"/>
        <v>rokwzgl=4 i lp=600</v>
      </c>
      <c r="J70" s="27" t="str">
        <f t="shared" si="19"/>
        <v>rokwzgl=5 i lp=600</v>
      </c>
      <c r="K70" s="27" t="str">
        <f t="shared" si="19"/>
        <v>rokwzgl=6 i lp=600</v>
      </c>
      <c r="L70" s="27" t="str">
        <f t="shared" si="19"/>
        <v>rokwzgl=7 i lp=600</v>
      </c>
      <c r="M70" s="27" t="str">
        <f t="shared" si="19"/>
        <v>rokwzgl=8 i lp=600</v>
      </c>
      <c r="N70" s="27" t="str">
        <f t="shared" ref="N70:W79" si="20">+"rokwzgl="&amp;N$9&amp;" i lp="&amp;$A70</f>
        <v>rokwzgl=9 i lp=600</v>
      </c>
      <c r="O70" s="27" t="str">
        <f t="shared" si="20"/>
        <v>rokwzgl=10 i lp=600</v>
      </c>
      <c r="P70" s="27" t="str">
        <f t="shared" si="20"/>
        <v>rokwzgl=11 i lp=600</v>
      </c>
      <c r="Q70" s="27" t="str">
        <f t="shared" si="20"/>
        <v>rokwzgl=12 i lp=600</v>
      </c>
      <c r="R70" s="27" t="str">
        <f t="shared" si="20"/>
        <v>rokwzgl=13 i lp=600</v>
      </c>
      <c r="S70" s="27" t="str">
        <f t="shared" si="20"/>
        <v>rokwzgl=14 i lp=600</v>
      </c>
      <c r="T70" s="27" t="str">
        <f t="shared" si="20"/>
        <v>rokwzgl=15 i lp=600</v>
      </c>
      <c r="U70" s="27" t="str">
        <f t="shared" si="20"/>
        <v>rokwzgl=16 i lp=600</v>
      </c>
      <c r="V70" s="27" t="str">
        <f t="shared" si="20"/>
        <v>rokwzgl=17 i lp=600</v>
      </c>
      <c r="W70" s="27" t="str">
        <f t="shared" si="20"/>
        <v>rokwzgl=18 i lp=600</v>
      </c>
      <c r="X70" s="27" t="str">
        <f t="shared" ref="X70:AH79" si="21">+"rokwzgl="&amp;X$9&amp;" i lp="&amp;$A70</f>
        <v>rokwzgl=19 i lp=600</v>
      </c>
      <c r="Y70" s="27" t="str">
        <f t="shared" si="21"/>
        <v>rokwzgl=20 i lp=600</v>
      </c>
      <c r="Z70" s="27" t="str">
        <f t="shared" si="21"/>
        <v>rokwzgl=21 i lp=600</v>
      </c>
      <c r="AA70" s="27" t="str">
        <f t="shared" si="21"/>
        <v>rokwzgl=22 i lp=600</v>
      </c>
      <c r="AB70" s="27" t="str">
        <f t="shared" si="21"/>
        <v>rokwzgl=23 i lp=600</v>
      </c>
      <c r="AC70" s="27" t="str">
        <f t="shared" si="21"/>
        <v>rokwzgl=24 i lp=600</v>
      </c>
      <c r="AD70" s="27" t="str">
        <f t="shared" si="21"/>
        <v>rokwzgl=25 i lp=600</v>
      </c>
      <c r="AE70" s="27" t="str">
        <f t="shared" si="21"/>
        <v>rokwzgl=26 i lp=600</v>
      </c>
      <c r="AF70" s="27" t="str">
        <f t="shared" si="21"/>
        <v>rokwzgl=27 i lp=600</v>
      </c>
      <c r="AG70" s="27" t="str">
        <f t="shared" si="21"/>
        <v>rokwzgl=28 i lp=600</v>
      </c>
      <c r="AH70" s="27" t="str">
        <f t="shared" si="21"/>
        <v>rokwzgl=29 i lp=600</v>
      </c>
    </row>
    <row r="71" spans="1:34">
      <c r="A71" s="26">
        <v>610</v>
      </c>
      <c r="B71" s="26" t="s">
        <v>127</v>
      </c>
      <c r="C71" s="27" t="s">
        <v>128</v>
      </c>
      <c r="D71" s="27" t="str">
        <f t="shared" si="19"/>
        <v>rokwzgl=0 i lp=610</v>
      </c>
      <c r="E71" s="27" t="str">
        <f t="shared" si="19"/>
        <v>rokwzgl=0 i lp=610</v>
      </c>
      <c r="F71" s="27" t="str">
        <f t="shared" si="19"/>
        <v>rokwzgl=1 i lp=610</v>
      </c>
      <c r="G71" s="27" t="str">
        <f t="shared" si="19"/>
        <v>rokwzgl=2 i lp=610</v>
      </c>
      <c r="H71" s="27" t="str">
        <f t="shared" si="19"/>
        <v>rokwzgl=3 i lp=610</v>
      </c>
      <c r="I71" s="27" t="str">
        <f t="shared" si="19"/>
        <v>rokwzgl=4 i lp=610</v>
      </c>
      <c r="J71" s="27" t="str">
        <f t="shared" si="19"/>
        <v>rokwzgl=5 i lp=610</v>
      </c>
      <c r="K71" s="27" t="str">
        <f t="shared" si="19"/>
        <v>rokwzgl=6 i lp=610</v>
      </c>
      <c r="L71" s="27" t="str">
        <f t="shared" si="19"/>
        <v>rokwzgl=7 i lp=610</v>
      </c>
      <c r="M71" s="27" t="str">
        <f t="shared" si="19"/>
        <v>rokwzgl=8 i lp=610</v>
      </c>
      <c r="N71" s="27" t="str">
        <f t="shared" si="20"/>
        <v>rokwzgl=9 i lp=610</v>
      </c>
      <c r="O71" s="27" t="str">
        <f t="shared" si="20"/>
        <v>rokwzgl=10 i lp=610</v>
      </c>
      <c r="P71" s="27" t="str">
        <f t="shared" si="20"/>
        <v>rokwzgl=11 i lp=610</v>
      </c>
      <c r="Q71" s="27" t="str">
        <f t="shared" si="20"/>
        <v>rokwzgl=12 i lp=610</v>
      </c>
      <c r="R71" s="27" t="str">
        <f t="shared" si="20"/>
        <v>rokwzgl=13 i lp=610</v>
      </c>
      <c r="S71" s="27" t="str">
        <f t="shared" si="20"/>
        <v>rokwzgl=14 i lp=610</v>
      </c>
      <c r="T71" s="27" t="str">
        <f t="shared" si="20"/>
        <v>rokwzgl=15 i lp=610</v>
      </c>
      <c r="U71" s="27" t="str">
        <f t="shared" si="20"/>
        <v>rokwzgl=16 i lp=610</v>
      </c>
      <c r="V71" s="27" t="str">
        <f t="shared" si="20"/>
        <v>rokwzgl=17 i lp=610</v>
      </c>
      <c r="W71" s="27" t="str">
        <f t="shared" si="20"/>
        <v>rokwzgl=18 i lp=610</v>
      </c>
      <c r="X71" s="27" t="str">
        <f t="shared" si="21"/>
        <v>rokwzgl=19 i lp=610</v>
      </c>
      <c r="Y71" s="27" t="str">
        <f t="shared" si="21"/>
        <v>rokwzgl=20 i lp=610</v>
      </c>
      <c r="Z71" s="27" t="str">
        <f t="shared" si="21"/>
        <v>rokwzgl=21 i lp=610</v>
      </c>
      <c r="AA71" s="27" t="str">
        <f t="shared" si="21"/>
        <v>rokwzgl=22 i lp=610</v>
      </c>
      <c r="AB71" s="27" t="str">
        <f t="shared" si="21"/>
        <v>rokwzgl=23 i lp=610</v>
      </c>
      <c r="AC71" s="27" t="str">
        <f t="shared" si="21"/>
        <v>rokwzgl=24 i lp=610</v>
      </c>
      <c r="AD71" s="27" t="str">
        <f t="shared" si="21"/>
        <v>rokwzgl=25 i lp=610</v>
      </c>
      <c r="AE71" s="27" t="str">
        <f t="shared" si="21"/>
        <v>rokwzgl=26 i lp=610</v>
      </c>
      <c r="AF71" s="27" t="str">
        <f t="shared" si="21"/>
        <v>rokwzgl=27 i lp=610</v>
      </c>
      <c r="AG71" s="27" t="str">
        <f t="shared" si="21"/>
        <v>rokwzgl=28 i lp=610</v>
      </c>
      <c r="AH71" s="27" t="str">
        <f t="shared" si="21"/>
        <v>rokwzgl=29 i lp=610</v>
      </c>
    </row>
    <row r="72" spans="1:34">
      <c r="A72" s="26">
        <v>620</v>
      </c>
      <c r="B72" s="26" t="s">
        <v>129</v>
      </c>
      <c r="C72" s="27" t="s">
        <v>130</v>
      </c>
      <c r="D72" s="27" t="str">
        <f t="shared" si="19"/>
        <v>rokwzgl=0 i lp=620</v>
      </c>
      <c r="E72" s="27" t="str">
        <f t="shared" si="19"/>
        <v>rokwzgl=0 i lp=620</v>
      </c>
      <c r="F72" s="27" t="str">
        <f t="shared" si="19"/>
        <v>rokwzgl=1 i lp=620</v>
      </c>
      <c r="G72" s="27" t="str">
        <f t="shared" si="19"/>
        <v>rokwzgl=2 i lp=620</v>
      </c>
      <c r="H72" s="27" t="str">
        <f t="shared" si="19"/>
        <v>rokwzgl=3 i lp=620</v>
      </c>
      <c r="I72" s="27" t="str">
        <f t="shared" si="19"/>
        <v>rokwzgl=4 i lp=620</v>
      </c>
      <c r="J72" s="27" t="str">
        <f t="shared" si="19"/>
        <v>rokwzgl=5 i lp=620</v>
      </c>
      <c r="K72" s="27" t="str">
        <f t="shared" si="19"/>
        <v>rokwzgl=6 i lp=620</v>
      </c>
      <c r="L72" s="27" t="str">
        <f t="shared" si="19"/>
        <v>rokwzgl=7 i lp=620</v>
      </c>
      <c r="M72" s="27" t="str">
        <f t="shared" si="19"/>
        <v>rokwzgl=8 i lp=620</v>
      </c>
      <c r="N72" s="27" t="str">
        <f t="shared" si="20"/>
        <v>rokwzgl=9 i lp=620</v>
      </c>
      <c r="O72" s="27" t="str">
        <f t="shared" si="20"/>
        <v>rokwzgl=10 i lp=620</v>
      </c>
      <c r="P72" s="27" t="str">
        <f t="shared" si="20"/>
        <v>rokwzgl=11 i lp=620</v>
      </c>
      <c r="Q72" s="27" t="str">
        <f t="shared" si="20"/>
        <v>rokwzgl=12 i lp=620</v>
      </c>
      <c r="R72" s="27" t="str">
        <f t="shared" si="20"/>
        <v>rokwzgl=13 i lp=620</v>
      </c>
      <c r="S72" s="27" t="str">
        <f t="shared" si="20"/>
        <v>rokwzgl=14 i lp=620</v>
      </c>
      <c r="T72" s="27" t="str">
        <f t="shared" si="20"/>
        <v>rokwzgl=15 i lp=620</v>
      </c>
      <c r="U72" s="27" t="str">
        <f t="shared" si="20"/>
        <v>rokwzgl=16 i lp=620</v>
      </c>
      <c r="V72" s="27" t="str">
        <f t="shared" si="20"/>
        <v>rokwzgl=17 i lp=620</v>
      </c>
      <c r="W72" s="27" t="str">
        <f t="shared" si="20"/>
        <v>rokwzgl=18 i lp=620</v>
      </c>
      <c r="X72" s="27" t="str">
        <f t="shared" si="21"/>
        <v>rokwzgl=19 i lp=620</v>
      </c>
      <c r="Y72" s="27" t="str">
        <f t="shared" si="21"/>
        <v>rokwzgl=20 i lp=620</v>
      </c>
      <c r="Z72" s="27" t="str">
        <f t="shared" si="21"/>
        <v>rokwzgl=21 i lp=620</v>
      </c>
      <c r="AA72" s="27" t="str">
        <f t="shared" si="21"/>
        <v>rokwzgl=22 i lp=620</v>
      </c>
      <c r="AB72" s="27" t="str">
        <f t="shared" si="21"/>
        <v>rokwzgl=23 i lp=620</v>
      </c>
      <c r="AC72" s="27" t="str">
        <f t="shared" si="21"/>
        <v>rokwzgl=24 i lp=620</v>
      </c>
      <c r="AD72" s="27" t="str">
        <f t="shared" si="21"/>
        <v>rokwzgl=25 i lp=620</v>
      </c>
      <c r="AE72" s="27" t="str">
        <f t="shared" si="21"/>
        <v>rokwzgl=26 i lp=620</v>
      </c>
      <c r="AF72" s="27" t="str">
        <f t="shared" si="21"/>
        <v>rokwzgl=27 i lp=620</v>
      </c>
      <c r="AG72" s="27" t="str">
        <f t="shared" si="21"/>
        <v>rokwzgl=28 i lp=620</v>
      </c>
      <c r="AH72" s="27" t="str">
        <f t="shared" si="21"/>
        <v>rokwzgl=29 i lp=620</v>
      </c>
    </row>
    <row r="73" spans="1:34">
      <c r="A73" s="26">
        <v>630</v>
      </c>
      <c r="B73" s="26">
        <v>11.4</v>
      </c>
      <c r="C73" s="27" t="s">
        <v>131</v>
      </c>
      <c r="D73" s="27" t="str">
        <f t="shared" si="19"/>
        <v>rokwzgl=0 i lp=630</v>
      </c>
      <c r="E73" s="27" t="str">
        <f t="shared" si="19"/>
        <v>rokwzgl=0 i lp=630</v>
      </c>
      <c r="F73" s="27" t="str">
        <f t="shared" si="19"/>
        <v>rokwzgl=1 i lp=630</v>
      </c>
      <c r="G73" s="27" t="str">
        <f t="shared" si="19"/>
        <v>rokwzgl=2 i lp=630</v>
      </c>
      <c r="H73" s="27" t="str">
        <f t="shared" si="19"/>
        <v>rokwzgl=3 i lp=630</v>
      </c>
      <c r="I73" s="27" t="str">
        <f t="shared" si="19"/>
        <v>rokwzgl=4 i lp=630</v>
      </c>
      <c r="J73" s="27" t="str">
        <f t="shared" si="19"/>
        <v>rokwzgl=5 i lp=630</v>
      </c>
      <c r="K73" s="27" t="str">
        <f t="shared" si="19"/>
        <v>rokwzgl=6 i lp=630</v>
      </c>
      <c r="L73" s="27" t="str">
        <f t="shared" si="19"/>
        <v>rokwzgl=7 i lp=630</v>
      </c>
      <c r="M73" s="27" t="str">
        <f t="shared" si="19"/>
        <v>rokwzgl=8 i lp=630</v>
      </c>
      <c r="N73" s="27" t="str">
        <f t="shared" si="20"/>
        <v>rokwzgl=9 i lp=630</v>
      </c>
      <c r="O73" s="27" t="str">
        <f t="shared" si="20"/>
        <v>rokwzgl=10 i lp=630</v>
      </c>
      <c r="P73" s="27" t="str">
        <f t="shared" si="20"/>
        <v>rokwzgl=11 i lp=630</v>
      </c>
      <c r="Q73" s="27" t="str">
        <f t="shared" si="20"/>
        <v>rokwzgl=12 i lp=630</v>
      </c>
      <c r="R73" s="27" t="str">
        <f t="shared" si="20"/>
        <v>rokwzgl=13 i lp=630</v>
      </c>
      <c r="S73" s="27" t="str">
        <f t="shared" si="20"/>
        <v>rokwzgl=14 i lp=630</v>
      </c>
      <c r="T73" s="27" t="str">
        <f t="shared" si="20"/>
        <v>rokwzgl=15 i lp=630</v>
      </c>
      <c r="U73" s="27" t="str">
        <f t="shared" si="20"/>
        <v>rokwzgl=16 i lp=630</v>
      </c>
      <c r="V73" s="27" t="str">
        <f t="shared" si="20"/>
        <v>rokwzgl=17 i lp=630</v>
      </c>
      <c r="W73" s="27" t="str">
        <f t="shared" si="20"/>
        <v>rokwzgl=18 i lp=630</v>
      </c>
      <c r="X73" s="27" t="str">
        <f t="shared" si="21"/>
        <v>rokwzgl=19 i lp=630</v>
      </c>
      <c r="Y73" s="27" t="str">
        <f t="shared" si="21"/>
        <v>rokwzgl=20 i lp=630</v>
      </c>
      <c r="Z73" s="27" t="str">
        <f t="shared" si="21"/>
        <v>rokwzgl=21 i lp=630</v>
      </c>
      <c r="AA73" s="27" t="str">
        <f t="shared" si="21"/>
        <v>rokwzgl=22 i lp=630</v>
      </c>
      <c r="AB73" s="27" t="str">
        <f t="shared" si="21"/>
        <v>rokwzgl=23 i lp=630</v>
      </c>
      <c r="AC73" s="27" t="str">
        <f t="shared" si="21"/>
        <v>rokwzgl=24 i lp=630</v>
      </c>
      <c r="AD73" s="27" t="str">
        <f t="shared" si="21"/>
        <v>rokwzgl=25 i lp=630</v>
      </c>
      <c r="AE73" s="27" t="str">
        <f t="shared" si="21"/>
        <v>rokwzgl=26 i lp=630</v>
      </c>
      <c r="AF73" s="27" t="str">
        <f t="shared" si="21"/>
        <v>rokwzgl=27 i lp=630</v>
      </c>
      <c r="AG73" s="27" t="str">
        <f t="shared" si="21"/>
        <v>rokwzgl=28 i lp=630</v>
      </c>
      <c r="AH73" s="27" t="str">
        <f t="shared" si="21"/>
        <v>rokwzgl=29 i lp=630</v>
      </c>
    </row>
    <row r="74" spans="1:34">
      <c r="A74" s="26">
        <v>640</v>
      </c>
      <c r="B74" s="26">
        <v>11.5</v>
      </c>
      <c r="C74" s="27" t="s">
        <v>132</v>
      </c>
      <c r="D74" s="27" t="str">
        <f t="shared" si="19"/>
        <v>rokwzgl=0 i lp=640</v>
      </c>
      <c r="E74" s="27" t="str">
        <f t="shared" si="19"/>
        <v>rokwzgl=0 i lp=640</v>
      </c>
      <c r="F74" s="27" t="str">
        <f t="shared" si="19"/>
        <v>rokwzgl=1 i lp=640</v>
      </c>
      <c r="G74" s="27" t="str">
        <f t="shared" si="19"/>
        <v>rokwzgl=2 i lp=640</v>
      </c>
      <c r="H74" s="27" t="str">
        <f t="shared" si="19"/>
        <v>rokwzgl=3 i lp=640</v>
      </c>
      <c r="I74" s="27" t="str">
        <f t="shared" si="19"/>
        <v>rokwzgl=4 i lp=640</v>
      </c>
      <c r="J74" s="27" t="str">
        <f t="shared" si="19"/>
        <v>rokwzgl=5 i lp=640</v>
      </c>
      <c r="K74" s="27" t="str">
        <f t="shared" si="19"/>
        <v>rokwzgl=6 i lp=640</v>
      </c>
      <c r="L74" s="27" t="str">
        <f t="shared" si="19"/>
        <v>rokwzgl=7 i lp=640</v>
      </c>
      <c r="M74" s="27" t="str">
        <f t="shared" si="19"/>
        <v>rokwzgl=8 i lp=640</v>
      </c>
      <c r="N74" s="27" t="str">
        <f t="shared" si="20"/>
        <v>rokwzgl=9 i lp=640</v>
      </c>
      <c r="O74" s="27" t="str">
        <f t="shared" si="20"/>
        <v>rokwzgl=10 i lp=640</v>
      </c>
      <c r="P74" s="27" t="str">
        <f t="shared" si="20"/>
        <v>rokwzgl=11 i lp=640</v>
      </c>
      <c r="Q74" s="27" t="str">
        <f t="shared" si="20"/>
        <v>rokwzgl=12 i lp=640</v>
      </c>
      <c r="R74" s="27" t="str">
        <f t="shared" si="20"/>
        <v>rokwzgl=13 i lp=640</v>
      </c>
      <c r="S74" s="27" t="str">
        <f t="shared" si="20"/>
        <v>rokwzgl=14 i lp=640</v>
      </c>
      <c r="T74" s="27" t="str">
        <f t="shared" si="20"/>
        <v>rokwzgl=15 i lp=640</v>
      </c>
      <c r="U74" s="27" t="str">
        <f t="shared" si="20"/>
        <v>rokwzgl=16 i lp=640</v>
      </c>
      <c r="V74" s="27" t="str">
        <f t="shared" si="20"/>
        <v>rokwzgl=17 i lp=640</v>
      </c>
      <c r="W74" s="27" t="str">
        <f t="shared" si="20"/>
        <v>rokwzgl=18 i lp=640</v>
      </c>
      <c r="X74" s="27" t="str">
        <f t="shared" si="21"/>
        <v>rokwzgl=19 i lp=640</v>
      </c>
      <c r="Y74" s="27" t="str">
        <f t="shared" si="21"/>
        <v>rokwzgl=20 i lp=640</v>
      </c>
      <c r="Z74" s="27" t="str">
        <f t="shared" si="21"/>
        <v>rokwzgl=21 i lp=640</v>
      </c>
      <c r="AA74" s="27" t="str">
        <f t="shared" si="21"/>
        <v>rokwzgl=22 i lp=640</v>
      </c>
      <c r="AB74" s="27" t="str">
        <f t="shared" si="21"/>
        <v>rokwzgl=23 i lp=640</v>
      </c>
      <c r="AC74" s="27" t="str">
        <f t="shared" si="21"/>
        <v>rokwzgl=24 i lp=640</v>
      </c>
      <c r="AD74" s="27" t="str">
        <f t="shared" si="21"/>
        <v>rokwzgl=25 i lp=640</v>
      </c>
      <c r="AE74" s="27" t="str">
        <f t="shared" si="21"/>
        <v>rokwzgl=26 i lp=640</v>
      </c>
      <c r="AF74" s="27" t="str">
        <f t="shared" si="21"/>
        <v>rokwzgl=27 i lp=640</v>
      </c>
      <c r="AG74" s="27" t="str">
        <f t="shared" si="21"/>
        <v>rokwzgl=28 i lp=640</v>
      </c>
      <c r="AH74" s="27" t="str">
        <f t="shared" si="21"/>
        <v>rokwzgl=29 i lp=640</v>
      </c>
    </row>
    <row r="75" spans="1:34">
      <c r="A75" s="26">
        <v>650</v>
      </c>
      <c r="B75" s="26">
        <v>11.6</v>
      </c>
      <c r="C75" s="27" t="s">
        <v>133</v>
      </c>
      <c r="D75" s="27" t="str">
        <f t="shared" si="19"/>
        <v>rokwzgl=0 i lp=650</v>
      </c>
      <c r="E75" s="27" t="str">
        <f t="shared" si="19"/>
        <v>rokwzgl=0 i lp=650</v>
      </c>
      <c r="F75" s="27" t="str">
        <f t="shared" si="19"/>
        <v>rokwzgl=1 i lp=650</v>
      </c>
      <c r="G75" s="27" t="str">
        <f t="shared" si="19"/>
        <v>rokwzgl=2 i lp=650</v>
      </c>
      <c r="H75" s="27" t="str">
        <f t="shared" si="19"/>
        <v>rokwzgl=3 i lp=650</v>
      </c>
      <c r="I75" s="27" t="str">
        <f t="shared" si="19"/>
        <v>rokwzgl=4 i lp=650</v>
      </c>
      <c r="J75" s="27" t="str">
        <f t="shared" si="19"/>
        <v>rokwzgl=5 i lp=650</v>
      </c>
      <c r="K75" s="27" t="str">
        <f t="shared" si="19"/>
        <v>rokwzgl=6 i lp=650</v>
      </c>
      <c r="L75" s="27" t="str">
        <f t="shared" si="19"/>
        <v>rokwzgl=7 i lp=650</v>
      </c>
      <c r="M75" s="27" t="str">
        <f t="shared" si="19"/>
        <v>rokwzgl=8 i lp=650</v>
      </c>
      <c r="N75" s="27" t="str">
        <f t="shared" si="20"/>
        <v>rokwzgl=9 i lp=650</v>
      </c>
      <c r="O75" s="27" t="str">
        <f t="shared" si="20"/>
        <v>rokwzgl=10 i lp=650</v>
      </c>
      <c r="P75" s="27" t="str">
        <f t="shared" si="20"/>
        <v>rokwzgl=11 i lp=650</v>
      </c>
      <c r="Q75" s="27" t="str">
        <f t="shared" si="20"/>
        <v>rokwzgl=12 i lp=650</v>
      </c>
      <c r="R75" s="27" t="str">
        <f t="shared" si="20"/>
        <v>rokwzgl=13 i lp=650</v>
      </c>
      <c r="S75" s="27" t="str">
        <f t="shared" si="20"/>
        <v>rokwzgl=14 i lp=650</v>
      </c>
      <c r="T75" s="27" t="str">
        <f t="shared" si="20"/>
        <v>rokwzgl=15 i lp=650</v>
      </c>
      <c r="U75" s="27" t="str">
        <f t="shared" si="20"/>
        <v>rokwzgl=16 i lp=650</v>
      </c>
      <c r="V75" s="27" t="str">
        <f t="shared" si="20"/>
        <v>rokwzgl=17 i lp=650</v>
      </c>
      <c r="W75" s="27" t="str">
        <f t="shared" si="20"/>
        <v>rokwzgl=18 i lp=650</v>
      </c>
      <c r="X75" s="27" t="str">
        <f t="shared" si="21"/>
        <v>rokwzgl=19 i lp=650</v>
      </c>
      <c r="Y75" s="27" t="str">
        <f t="shared" si="21"/>
        <v>rokwzgl=20 i lp=650</v>
      </c>
      <c r="Z75" s="27" t="str">
        <f t="shared" si="21"/>
        <v>rokwzgl=21 i lp=650</v>
      </c>
      <c r="AA75" s="27" t="str">
        <f t="shared" si="21"/>
        <v>rokwzgl=22 i lp=650</v>
      </c>
      <c r="AB75" s="27" t="str">
        <f t="shared" si="21"/>
        <v>rokwzgl=23 i lp=650</v>
      </c>
      <c r="AC75" s="27" t="str">
        <f t="shared" si="21"/>
        <v>rokwzgl=24 i lp=650</v>
      </c>
      <c r="AD75" s="27" t="str">
        <f t="shared" si="21"/>
        <v>rokwzgl=25 i lp=650</v>
      </c>
      <c r="AE75" s="27" t="str">
        <f t="shared" si="21"/>
        <v>rokwzgl=26 i lp=650</v>
      </c>
      <c r="AF75" s="27" t="str">
        <f t="shared" si="21"/>
        <v>rokwzgl=27 i lp=650</v>
      </c>
      <c r="AG75" s="27" t="str">
        <f t="shared" si="21"/>
        <v>rokwzgl=28 i lp=650</v>
      </c>
      <c r="AH75" s="27" t="str">
        <f t="shared" si="21"/>
        <v>rokwzgl=29 i lp=650</v>
      </c>
    </row>
    <row r="76" spans="1:34">
      <c r="A76" s="26">
        <v>660</v>
      </c>
      <c r="B76" s="26">
        <v>12</v>
      </c>
      <c r="C76" s="27" t="s">
        <v>134</v>
      </c>
      <c r="D76" s="27" t="str">
        <f t="shared" si="19"/>
        <v>rokwzgl=0 i lp=660</v>
      </c>
      <c r="E76" s="27" t="str">
        <f t="shared" si="19"/>
        <v>rokwzgl=0 i lp=660</v>
      </c>
      <c r="F76" s="27" t="str">
        <f t="shared" si="19"/>
        <v>rokwzgl=1 i lp=660</v>
      </c>
      <c r="G76" s="27" t="str">
        <f t="shared" si="19"/>
        <v>rokwzgl=2 i lp=660</v>
      </c>
      <c r="H76" s="27" t="str">
        <f t="shared" si="19"/>
        <v>rokwzgl=3 i lp=660</v>
      </c>
      <c r="I76" s="27" t="str">
        <f t="shared" si="19"/>
        <v>rokwzgl=4 i lp=660</v>
      </c>
      <c r="J76" s="27" t="str">
        <f t="shared" si="19"/>
        <v>rokwzgl=5 i lp=660</v>
      </c>
      <c r="K76" s="27" t="str">
        <f t="shared" si="19"/>
        <v>rokwzgl=6 i lp=660</v>
      </c>
      <c r="L76" s="27" t="str">
        <f t="shared" si="19"/>
        <v>rokwzgl=7 i lp=660</v>
      </c>
      <c r="M76" s="27" t="str">
        <f t="shared" si="19"/>
        <v>rokwzgl=8 i lp=660</v>
      </c>
      <c r="N76" s="27" t="str">
        <f t="shared" si="20"/>
        <v>rokwzgl=9 i lp=660</v>
      </c>
      <c r="O76" s="27" t="str">
        <f t="shared" si="20"/>
        <v>rokwzgl=10 i lp=660</v>
      </c>
      <c r="P76" s="27" t="str">
        <f t="shared" si="20"/>
        <v>rokwzgl=11 i lp=660</v>
      </c>
      <c r="Q76" s="27" t="str">
        <f t="shared" si="20"/>
        <v>rokwzgl=12 i lp=660</v>
      </c>
      <c r="R76" s="27" t="str">
        <f t="shared" si="20"/>
        <v>rokwzgl=13 i lp=660</v>
      </c>
      <c r="S76" s="27" t="str">
        <f t="shared" si="20"/>
        <v>rokwzgl=14 i lp=660</v>
      </c>
      <c r="T76" s="27" t="str">
        <f t="shared" si="20"/>
        <v>rokwzgl=15 i lp=660</v>
      </c>
      <c r="U76" s="27" t="str">
        <f t="shared" si="20"/>
        <v>rokwzgl=16 i lp=660</v>
      </c>
      <c r="V76" s="27" t="str">
        <f t="shared" si="20"/>
        <v>rokwzgl=17 i lp=660</v>
      </c>
      <c r="W76" s="27" t="str">
        <f t="shared" si="20"/>
        <v>rokwzgl=18 i lp=660</v>
      </c>
      <c r="X76" s="27" t="str">
        <f t="shared" si="21"/>
        <v>rokwzgl=19 i lp=660</v>
      </c>
      <c r="Y76" s="27" t="str">
        <f t="shared" si="21"/>
        <v>rokwzgl=20 i lp=660</v>
      </c>
      <c r="Z76" s="27" t="str">
        <f t="shared" si="21"/>
        <v>rokwzgl=21 i lp=660</v>
      </c>
      <c r="AA76" s="27" t="str">
        <f t="shared" si="21"/>
        <v>rokwzgl=22 i lp=660</v>
      </c>
      <c r="AB76" s="27" t="str">
        <f t="shared" si="21"/>
        <v>rokwzgl=23 i lp=660</v>
      </c>
      <c r="AC76" s="27" t="str">
        <f t="shared" si="21"/>
        <v>rokwzgl=24 i lp=660</v>
      </c>
      <c r="AD76" s="27" t="str">
        <f t="shared" si="21"/>
        <v>rokwzgl=25 i lp=660</v>
      </c>
      <c r="AE76" s="27" t="str">
        <f t="shared" si="21"/>
        <v>rokwzgl=26 i lp=660</v>
      </c>
      <c r="AF76" s="27" t="str">
        <f t="shared" si="21"/>
        <v>rokwzgl=27 i lp=660</v>
      </c>
      <c r="AG76" s="27" t="str">
        <f t="shared" si="21"/>
        <v>rokwzgl=28 i lp=660</v>
      </c>
      <c r="AH76" s="27" t="str">
        <f t="shared" si="21"/>
        <v>rokwzgl=29 i lp=660</v>
      </c>
    </row>
    <row r="77" spans="1:34">
      <c r="A77" s="26">
        <v>670</v>
      </c>
      <c r="B77" s="26">
        <v>12.1</v>
      </c>
      <c r="C77" s="27" t="s">
        <v>135</v>
      </c>
      <c r="D77" s="27" t="str">
        <f t="shared" si="19"/>
        <v>rokwzgl=0 i lp=670</v>
      </c>
      <c r="E77" s="27" t="str">
        <f t="shared" si="19"/>
        <v>rokwzgl=0 i lp=670</v>
      </c>
      <c r="F77" s="27" t="str">
        <f t="shared" si="19"/>
        <v>rokwzgl=1 i lp=670</v>
      </c>
      <c r="G77" s="27" t="str">
        <f t="shared" si="19"/>
        <v>rokwzgl=2 i lp=670</v>
      </c>
      <c r="H77" s="27" t="str">
        <f t="shared" si="19"/>
        <v>rokwzgl=3 i lp=670</v>
      </c>
      <c r="I77" s="27" t="str">
        <f t="shared" si="19"/>
        <v>rokwzgl=4 i lp=670</v>
      </c>
      <c r="J77" s="27" t="str">
        <f t="shared" si="19"/>
        <v>rokwzgl=5 i lp=670</v>
      </c>
      <c r="K77" s="27" t="str">
        <f t="shared" si="19"/>
        <v>rokwzgl=6 i lp=670</v>
      </c>
      <c r="L77" s="27" t="str">
        <f t="shared" si="19"/>
        <v>rokwzgl=7 i lp=670</v>
      </c>
      <c r="M77" s="27" t="str">
        <f t="shared" si="19"/>
        <v>rokwzgl=8 i lp=670</v>
      </c>
      <c r="N77" s="27" t="str">
        <f t="shared" si="20"/>
        <v>rokwzgl=9 i lp=670</v>
      </c>
      <c r="O77" s="27" t="str">
        <f t="shared" si="20"/>
        <v>rokwzgl=10 i lp=670</v>
      </c>
      <c r="P77" s="27" t="str">
        <f t="shared" si="20"/>
        <v>rokwzgl=11 i lp=670</v>
      </c>
      <c r="Q77" s="27" t="str">
        <f t="shared" si="20"/>
        <v>rokwzgl=12 i lp=670</v>
      </c>
      <c r="R77" s="27" t="str">
        <f t="shared" si="20"/>
        <v>rokwzgl=13 i lp=670</v>
      </c>
      <c r="S77" s="27" t="str">
        <f t="shared" si="20"/>
        <v>rokwzgl=14 i lp=670</v>
      </c>
      <c r="T77" s="27" t="str">
        <f t="shared" si="20"/>
        <v>rokwzgl=15 i lp=670</v>
      </c>
      <c r="U77" s="27" t="str">
        <f t="shared" si="20"/>
        <v>rokwzgl=16 i lp=670</v>
      </c>
      <c r="V77" s="27" t="str">
        <f t="shared" si="20"/>
        <v>rokwzgl=17 i lp=670</v>
      </c>
      <c r="W77" s="27" t="str">
        <f t="shared" si="20"/>
        <v>rokwzgl=18 i lp=670</v>
      </c>
      <c r="X77" s="27" t="str">
        <f t="shared" si="21"/>
        <v>rokwzgl=19 i lp=670</v>
      </c>
      <c r="Y77" s="27" t="str">
        <f t="shared" si="21"/>
        <v>rokwzgl=20 i lp=670</v>
      </c>
      <c r="Z77" s="27" t="str">
        <f t="shared" si="21"/>
        <v>rokwzgl=21 i lp=670</v>
      </c>
      <c r="AA77" s="27" t="str">
        <f t="shared" si="21"/>
        <v>rokwzgl=22 i lp=670</v>
      </c>
      <c r="AB77" s="27" t="str">
        <f t="shared" si="21"/>
        <v>rokwzgl=23 i lp=670</v>
      </c>
      <c r="AC77" s="27" t="str">
        <f t="shared" si="21"/>
        <v>rokwzgl=24 i lp=670</v>
      </c>
      <c r="AD77" s="27" t="str">
        <f t="shared" si="21"/>
        <v>rokwzgl=25 i lp=670</v>
      </c>
      <c r="AE77" s="27" t="str">
        <f t="shared" si="21"/>
        <v>rokwzgl=26 i lp=670</v>
      </c>
      <c r="AF77" s="27" t="str">
        <f t="shared" si="21"/>
        <v>rokwzgl=27 i lp=670</v>
      </c>
      <c r="AG77" s="27" t="str">
        <f t="shared" si="21"/>
        <v>rokwzgl=28 i lp=670</v>
      </c>
      <c r="AH77" s="27" t="str">
        <f t="shared" si="21"/>
        <v>rokwzgl=29 i lp=670</v>
      </c>
    </row>
    <row r="78" spans="1:34">
      <c r="A78" s="26">
        <v>680</v>
      </c>
      <c r="B78" s="26" t="s">
        <v>136</v>
      </c>
      <c r="C78" s="27" t="s">
        <v>137</v>
      </c>
      <c r="D78" s="27" t="str">
        <f t="shared" si="19"/>
        <v>rokwzgl=0 i lp=680</v>
      </c>
      <c r="E78" s="27" t="str">
        <f t="shared" si="19"/>
        <v>rokwzgl=0 i lp=680</v>
      </c>
      <c r="F78" s="27" t="str">
        <f t="shared" si="19"/>
        <v>rokwzgl=1 i lp=680</v>
      </c>
      <c r="G78" s="27" t="str">
        <f t="shared" si="19"/>
        <v>rokwzgl=2 i lp=680</v>
      </c>
      <c r="H78" s="27" t="str">
        <f t="shared" si="19"/>
        <v>rokwzgl=3 i lp=680</v>
      </c>
      <c r="I78" s="27" t="str">
        <f t="shared" si="19"/>
        <v>rokwzgl=4 i lp=680</v>
      </c>
      <c r="J78" s="27" t="str">
        <f t="shared" si="19"/>
        <v>rokwzgl=5 i lp=680</v>
      </c>
      <c r="K78" s="27" t="str">
        <f t="shared" si="19"/>
        <v>rokwzgl=6 i lp=680</v>
      </c>
      <c r="L78" s="27" t="str">
        <f t="shared" si="19"/>
        <v>rokwzgl=7 i lp=680</v>
      </c>
      <c r="M78" s="27" t="str">
        <f t="shared" si="19"/>
        <v>rokwzgl=8 i lp=680</v>
      </c>
      <c r="N78" s="27" t="str">
        <f t="shared" si="20"/>
        <v>rokwzgl=9 i lp=680</v>
      </c>
      <c r="O78" s="27" t="str">
        <f t="shared" si="20"/>
        <v>rokwzgl=10 i lp=680</v>
      </c>
      <c r="P78" s="27" t="str">
        <f t="shared" si="20"/>
        <v>rokwzgl=11 i lp=680</v>
      </c>
      <c r="Q78" s="27" t="str">
        <f t="shared" si="20"/>
        <v>rokwzgl=12 i lp=680</v>
      </c>
      <c r="R78" s="27" t="str">
        <f t="shared" si="20"/>
        <v>rokwzgl=13 i lp=680</v>
      </c>
      <c r="S78" s="27" t="str">
        <f t="shared" si="20"/>
        <v>rokwzgl=14 i lp=680</v>
      </c>
      <c r="T78" s="27" t="str">
        <f t="shared" si="20"/>
        <v>rokwzgl=15 i lp=680</v>
      </c>
      <c r="U78" s="27" t="str">
        <f t="shared" si="20"/>
        <v>rokwzgl=16 i lp=680</v>
      </c>
      <c r="V78" s="27" t="str">
        <f t="shared" si="20"/>
        <v>rokwzgl=17 i lp=680</v>
      </c>
      <c r="W78" s="27" t="str">
        <f t="shared" si="20"/>
        <v>rokwzgl=18 i lp=680</v>
      </c>
      <c r="X78" s="27" t="str">
        <f t="shared" si="21"/>
        <v>rokwzgl=19 i lp=680</v>
      </c>
      <c r="Y78" s="27" t="str">
        <f t="shared" si="21"/>
        <v>rokwzgl=20 i lp=680</v>
      </c>
      <c r="Z78" s="27" t="str">
        <f t="shared" si="21"/>
        <v>rokwzgl=21 i lp=680</v>
      </c>
      <c r="AA78" s="27" t="str">
        <f t="shared" si="21"/>
        <v>rokwzgl=22 i lp=680</v>
      </c>
      <c r="AB78" s="27" t="str">
        <f t="shared" si="21"/>
        <v>rokwzgl=23 i lp=680</v>
      </c>
      <c r="AC78" s="27" t="str">
        <f t="shared" si="21"/>
        <v>rokwzgl=24 i lp=680</v>
      </c>
      <c r="AD78" s="27" t="str">
        <f t="shared" si="21"/>
        <v>rokwzgl=25 i lp=680</v>
      </c>
      <c r="AE78" s="27" t="str">
        <f t="shared" si="21"/>
        <v>rokwzgl=26 i lp=680</v>
      </c>
      <c r="AF78" s="27" t="str">
        <f t="shared" si="21"/>
        <v>rokwzgl=27 i lp=680</v>
      </c>
      <c r="AG78" s="27" t="str">
        <f t="shared" si="21"/>
        <v>rokwzgl=28 i lp=680</v>
      </c>
      <c r="AH78" s="27" t="str">
        <f t="shared" si="21"/>
        <v>rokwzgl=29 i lp=680</v>
      </c>
    </row>
    <row r="79" spans="1:34">
      <c r="A79" s="26">
        <v>690</v>
      </c>
      <c r="B79" s="26" t="s">
        <v>138</v>
      </c>
      <c r="C79" s="27" t="s">
        <v>139</v>
      </c>
      <c r="D79" s="27" t="str">
        <f t="shared" si="19"/>
        <v>rokwzgl=0 i lp=690</v>
      </c>
      <c r="E79" s="27" t="str">
        <f t="shared" si="19"/>
        <v>rokwzgl=0 i lp=690</v>
      </c>
      <c r="F79" s="27" t="str">
        <f t="shared" si="19"/>
        <v>rokwzgl=1 i lp=690</v>
      </c>
      <c r="G79" s="27" t="str">
        <f t="shared" si="19"/>
        <v>rokwzgl=2 i lp=690</v>
      </c>
      <c r="H79" s="27" t="str">
        <f t="shared" si="19"/>
        <v>rokwzgl=3 i lp=690</v>
      </c>
      <c r="I79" s="27" t="str">
        <f t="shared" si="19"/>
        <v>rokwzgl=4 i lp=690</v>
      </c>
      <c r="J79" s="27" t="str">
        <f t="shared" si="19"/>
        <v>rokwzgl=5 i lp=690</v>
      </c>
      <c r="K79" s="27" t="str">
        <f t="shared" si="19"/>
        <v>rokwzgl=6 i lp=690</v>
      </c>
      <c r="L79" s="27" t="str">
        <f t="shared" si="19"/>
        <v>rokwzgl=7 i lp=690</v>
      </c>
      <c r="M79" s="27" t="str">
        <f t="shared" si="19"/>
        <v>rokwzgl=8 i lp=690</v>
      </c>
      <c r="N79" s="27" t="str">
        <f t="shared" si="20"/>
        <v>rokwzgl=9 i lp=690</v>
      </c>
      <c r="O79" s="27" t="str">
        <f t="shared" si="20"/>
        <v>rokwzgl=10 i lp=690</v>
      </c>
      <c r="P79" s="27" t="str">
        <f t="shared" si="20"/>
        <v>rokwzgl=11 i lp=690</v>
      </c>
      <c r="Q79" s="27" t="str">
        <f t="shared" si="20"/>
        <v>rokwzgl=12 i lp=690</v>
      </c>
      <c r="R79" s="27" t="str">
        <f t="shared" si="20"/>
        <v>rokwzgl=13 i lp=690</v>
      </c>
      <c r="S79" s="27" t="str">
        <f t="shared" si="20"/>
        <v>rokwzgl=14 i lp=690</v>
      </c>
      <c r="T79" s="27" t="str">
        <f t="shared" si="20"/>
        <v>rokwzgl=15 i lp=690</v>
      </c>
      <c r="U79" s="27" t="str">
        <f t="shared" si="20"/>
        <v>rokwzgl=16 i lp=690</v>
      </c>
      <c r="V79" s="27" t="str">
        <f t="shared" si="20"/>
        <v>rokwzgl=17 i lp=690</v>
      </c>
      <c r="W79" s="27" t="str">
        <f t="shared" si="20"/>
        <v>rokwzgl=18 i lp=690</v>
      </c>
      <c r="X79" s="27" t="str">
        <f t="shared" si="21"/>
        <v>rokwzgl=19 i lp=690</v>
      </c>
      <c r="Y79" s="27" t="str">
        <f t="shared" si="21"/>
        <v>rokwzgl=20 i lp=690</v>
      </c>
      <c r="Z79" s="27" t="str">
        <f t="shared" si="21"/>
        <v>rokwzgl=21 i lp=690</v>
      </c>
      <c r="AA79" s="27" t="str">
        <f t="shared" si="21"/>
        <v>rokwzgl=22 i lp=690</v>
      </c>
      <c r="AB79" s="27" t="str">
        <f t="shared" si="21"/>
        <v>rokwzgl=23 i lp=690</v>
      </c>
      <c r="AC79" s="27" t="str">
        <f t="shared" si="21"/>
        <v>rokwzgl=24 i lp=690</v>
      </c>
      <c r="AD79" s="27" t="str">
        <f t="shared" si="21"/>
        <v>rokwzgl=25 i lp=690</v>
      </c>
      <c r="AE79" s="27" t="str">
        <f t="shared" si="21"/>
        <v>rokwzgl=26 i lp=690</v>
      </c>
      <c r="AF79" s="27" t="str">
        <f t="shared" si="21"/>
        <v>rokwzgl=27 i lp=690</v>
      </c>
      <c r="AG79" s="27" t="str">
        <f t="shared" si="21"/>
        <v>rokwzgl=28 i lp=690</v>
      </c>
      <c r="AH79" s="27" t="str">
        <f t="shared" si="21"/>
        <v>rokwzgl=29 i lp=690</v>
      </c>
    </row>
    <row r="80" spans="1:34">
      <c r="A80" s="26">
        <v>700</v>
      </c>
      <c r="B80" s="26">
        <v>12.2</v>
      </c>
      <c r="C80" s="27" t="s">
        <v>140</v>
      </c>
      <c r="D80" s="27" t="str">
        <f t="shared" ref="D80:M89" si="22">+"rokwzgl="&amp;D$9&amp;" i lp="&amp;$A80</f>
        <v>rokwzgl=0 i lp=700</v>
      </c>
      <c r="E80" s="27" t="str">
        <f t="shared" si="22"/>
        <v>rokwzgl=0 i lp=700</v>
      </c>
      <c r="F80" s="27" t="str">
        <f t="shared" si="22"/>
        <v>rokwzgl=1 i lp=700</v>
      </c>
      <c r="G80" s="27" t="str">
        <f t="shared" si="22"/>
        <v>rokwzgl=2 i lp=700</v>
      </c>
      <c r="H80" s="27" t="str">
        <f t="shared" si="22"/>
        <v>rokwzgl=3 i lp=700</v>
      </c>
      <c r="I80" s="27" t="str">
        <f t="shared" si="22"/>
        <v>rokwzgl=4 i lp=700</v>
      </c>
      <c r="J80" s="27" t="str">
        <f t="shared" si="22"/>
        <v>rokwzgl=5 i lp=700</v>
      </c>
      <c r="K80" s="27" t="str">
        <f t="shared" si="22"/>
        <v>rokwzgl=6 i lp=700</v>
      </c>
      <c r="L80" s="27" t="str">
        <f t="shared" si="22"/>
        <v>rokwzgl=7 i lp=700</v>
      </c>
      <c r="M80" s="27" t="str">
        <f t="shared" si="22"/>
        <v>rokwzgl=8 i lp=700</v>
      </c>
      <c r="N80" s="27" t="str">
        <f t="shared" ref="N80:W89" si="23">+"rokwzgl="&amp;N$9&amp;" i lp="&amp;$A80</f>
        <v>rokwzgl=9 i lp=700</v>
      </c>
      <c r="O80" s="27" t="str">
        <f t="shared" si="23"/>
        <v>rokwzgl=10 i lp=700</v>
      </c>
      <c r="P80" s="27" t="str">
        <f t="shared" si="23"/>
        <v>rokwzgl=11 i lp=700</v>
      </c>
      <c r="Q80" s="27" t="str">
        <f t="shared" si="23"/>
        <v>rokwzgl=12 i lp=700</v>
      </c>
      <c r="R80" s="27" t="str">
        <f t="shared" si="23"/>
        <v>rokwzgl=13 i lp=700</v>
      </c>
      <c r="S80" s="27" t="str">
        <f t="shared" si="23"/>
        <v>rokwzgl=14 i lp=700</v>
      </c>
      <c r="T80" s="27" t="str">
        <f t="shared" si="23"/>
        <v>rokwzgl=15 i lp=700</v>
      </c>
      <c r="U80" s="27" t="str">
        <f t="shared" si="23"/>
        <v>rokwzgl=16 i lp=700</v>
      </c>
      <c r="V80" s="27" t="str">
        <f t="shared" si="23"/>
        <v>rokwzgl=17 i lp=700</v>
      </c>
      <c r="W80" s="27" t="str">
        <f t="shared" si="23"/>
        <v>rokwzgl=18 i lp=700</v>
      </c>
      <c r="X80" s="27" t="str">
        <f t="shared" ref="X80:AH89" si="24">+"rokwzgl="&amp;X$9&amp;" i lp="&amp;$A80</f>
        <v>rokwzgl=19 i lp=700</v>
      </c>
      <c r="Y80" s="27" t="str">
        <f t="shared" si="24"/>
        <v>rokwzgl=20 i lp=700</v>
      </c>
      <c r="Z80" s="27" t="str">
        <f t="shared" si="24"/>
        <v>rokwzgl=21 i lp=700</v>
      </c>
      <c r="AA80" s="27" t="str">
        <f t="shared" si="24"/>
        <v>rokwzgl=22 i lp=700</v>
      </c>
      <c r="AB80" s="27" t="str">
        <f t="shared" si="24"/>
        <v>rokwzgl=23 i lp=700</v>
      </c>
      <c r="AC80" s="27" t="str">
        <f t="shared" si="24"/>
        <v>rokwzgl=24 i lp=700</v>
      </c>
      <c r="AD80" s="27" t="str">
        <f t="shared" si="24"/>
        <v>rokwzgl=25 i lp=700</v>
      </c>
      <c r="AE80" s="27" t="str">
        <f t="shared" si="24"/>
        <v>rokwzgl=26 i lp=700</v>
      </c>
      <c r="AF80" s="27" t="str">
        <f t="shared" si="24"/>
        <v>rokwzgl=27 i lp=700</v>
      </c>
      <c r="AG80" s="27" t="str">
        <f t="shared" si="24"/>
        <v>rokwzgl=28 i lp=700</v>
      </c>
      <c r="AH80" s="27" t="str">
        <f t="shared" si="24"/>
        <v>rokwzgl=29 i lp=700</v>
      </c>
    </row>
    <row r="81" spans="1:34">
      <c r="A81" s="26">
        <v>710</v>
      </c>
      <c r="B81" s="26" t="s">
        <v>141</v>
      </c>
      <c r="C81" s="27" t="s">
        <v>142</v>
      </c>
      <c r="D81" s="27" t="str">
        <f t="shared" si="22"/>
        <v>rokwzgl=0 i lp=710</v>
      </c>
      <c r="E81" s="27" t="str">
        <f t="shared" si="22"/>
        <v>rokwzgl=0 i lp=710</v>
      </c>
      <c r="F81" s="27" t="str">
        <f t="shared" si="22"/>
        <v>rokwzgl=1 i lp=710</v>
      </c>
      <c r="G81" s="27" t="str">
        <f t="shared" si="22"/>
        <v>rokwzgl=2 i lp=710</v>
      </c>
      <c r="H81" s="27" t="str">
        <f t="shared" si="22"/>
        <v>rokwzgl=3 i lp=710</v>
      </c>
      <c r="I81" s="27" t="str">
        <f t="shared" si="22"/>
        <v>rokwzgl=4 i lp=710</v>
      </c>
      <c r="J81" s="27" t="str">
        <f t="shared" si="22"/>
        <v>rokwzgl=5 i lp=710</v>
      </c>
      <c r="K81" s="27" t="str">
        <f t="shared" si="22"/>
        <v>rokwzgl=6 i lp=710</v>
      </c>
      <c r="L81" s="27" t="str">
        <f t="shared" si="22"/>
        <v>rokwzgl=7 i lp=710</v>
      </c>
      <c r="M81" s="27" t="str">
        <f t="shared" si="22"/>
        <v>rokwzgl=8 i lp=710</v>
      </c>
      <c r="N81" s="27" t="str">
        <f t="shared" si="23"/>
        <v>rokwzgl=9 i lp=710</v>
      </c>
      <c r="O81" s="27" t="str">
        <f t="shared" si="23"/>
        <v>rokwzgl=10 i lp=710</v>
      </c>
      <c r="P81" s="27" t="str">
        <f t="shared" si="23"/>
        <v>rokwzgl=11 i lp=710</v>
      </c>
      <c r="Q81" s="27" t="str">
        <f t="shared" si="23"/>
        <v>rokwzgl=12 i lp=710</v>
      </c>
      <c r="R81" s="27" t="str">
        <f t="shared" si="23"/>
        <v>rokwzgl=13 i lp=710</v>
      </c>
      <c r="S81" s="27" t="str">
        <f t="shared" si="23"/>
        <v>rokwzgl=14 i lp=710</v>
      </c>
      <c r="T81" s="27" t="str">
        <f t="shared" si="23"/>
        <v>rokwzgl=15 i lp=710</v>
      </c>
      <c r="U81" s="27" t="str">
        <f t="shared" si="23"/>
        <v>rokwzgl=16 i lp=710</v>
      </c>
      <c r="V81" s="27" t="str">
        <f t="shared" si="23"/>
        <v>rokwzgl=17 i lp=710</v>
      </c>
      <c r="W81" s="27" t="str">
        <f t="shared" si="23"/>
        <v>rokwzgl=18 i lp=710</v>
      </c>
      <c r="X81" s="27" t="str">
        <f t="shared" si="24"/>
        <v>rokwzgl=19 i lp=710</v>
      </c>
      <c r="Y81" s="27" t="str">
        <f t="shared" si="24"/>
        <v>rokwzgl=20 i lp=710</v>
      </c>
      <c r="Z81" s="27" t="str">
        <f t="shared" si="24"/>
        <v>rokwzgl=21 i lp=710</v>
      </c>
      <c r="AA81" s="27" t="str">
        <f t="shared" si="24"/>
        <v>rokwzgl=22 i lp=710</v>
      </c>
      <c r="AB81" s="27" t="str">
        <f t="shared" si="24"/>
        <v>rokwzgl=23 i lp=710</v>
      </c>
      <c r="AC81" s="27" t="str">
        <f t="shared" si="24"/>
        <v>rokwzgl=24 i lp=710</v>
      </c>
      <c r="AD81" s="27" t="str">
        <f t="shared" si="24"/>
        <v>rokwzgl=25 i lp=710</v>
      </c>
      <c r="AE81" s="27" t="str">
        <f t="shared" si="24"/>
        <v>rokwzgl=26 i lp=710</v>
      </c>
      <c r="AF81" s="27" t="str">
        <f t="shared" si="24"/>
        <v>rokwzgl=27 i lp=710</v>
      </c>
      <c r="AG81" s="27" t="str">
        <f t="shared" si="24"/>
        <v>rokwzgl=28 i lp=710</v>
      </c>
      <c r="AH81" s="27" t="str">
        <f t="shared" si="24"/>
        <v>rokwzgl=29 i lp=710</v>
      </c>
    </row>
    <row r="82" spans="1:34">
      <c r="A82" s="26">
        <v>720</v>
      </c>
      <c r="B82" s="26" t="s">
        <v>143</v>
      </c>
      <c r="C82" s="27" t="s">
        <v>144</v>
      </c>
      <c r="D82" s="27" t="str">
        <f t="shared" si="22"/>
        <v>rokwzgl=0 i lp=720</v>
      </c>
      <c r="E82" s="27" t="str">
        <f t="shared" si="22"/>
        <v>rokwzgl=0 i lp=720</v>
      </c>
      <c r="F82" s="27" t="str">
        <f t="shared" si="22"/>
        <v>rokwzgl=1 i lp=720</v>
      </c>
      <c r="G82" s="27" t="str">
        <f t="shared" si="22"/>
        <v>rokwzgl=2 i lp=720</v>
      </c>
      <c r="H82" s="27" t="str">
        <f t="shared" si="22"/>
        <v>rokwzgl=3 i lp=720</v>
      </c>
      <c r="I82" s="27" t="str">
        <f t="shared" si="22"/>
        <v>rokwzgl=4 i lp=720</v>
      </c>
      <c r="J82" s="27" t="str">
        <f t="shared" si="22"/>
        <v>rokwzgl=5 i lp=720</v>
      </c>
      <c r="K82" s="27" t="str">
        <f t="shared" si="22"/>
        <v>rokwzgl=6 i lp=720</v>
      </c>
      <c r="L82" s="27" t="str">
        <f t="shared" si="22"/>
        <v>rokwzgl=7 i lp=720</v>
      </c>
      <c r="M82" s="27" t="str">
        <f t="shared" si="22"/>
        <v>rokwzgl=8 i lp=720</v>
      </c>
      <c r="N82" s="27" t="str">
        <f t="shared" si="23"/>
        <v>rokwzgl=9 i lp=720</v>
      </c>
      <c r="O82" s="27" t="str">
        <f t="shared" si="23"/>
        <v>rokwzgl=10 i lp=720</v>
      </c>
      <c r="P82" s="27" t="str">
        <f t="shared" si="23"/>
        <v>rokwzgl=11 i lp=720</v>
      </c>
      <c r="Q82" s="27" t="str">
        <f t="shared" si="23"/>
        <v>rokwzgl=12 i lp=720</v>
      </c>
      <c r="R82" s="27" t="str">
        <f t="shared" si="23"/>
        <v>rokwzgl=13 i lp=720</v>
      </c>
      <c r="S82" s="27" t="str">
        <f t="shared" si="23"/>
        <v>rokwzgl=14 i lp=720</v>
      </c>
      <c r="T82" s="27" t="str">
        <f t="shared" si="23"/>
        <v>rokwzgl=15 i lp=720</v>
      </c>
      <c r="U82" s="27" t="str">
        <f t="shared" si="23"/>
        <v>rokwzgl=16 i lp=720</v>
      </c>
      <c r="V82" s="27" t="str">
        <f t="shared" si="23"/>
        <v>rokwzgl=17 i lp=720</v>
      </c>
      <c r="W82" s="27" t="str">
        <f t="shared" si="23"/>
        <v>rokwzgl=18 i lp=720</v>
      </c>
      <c r="X82" s="27" t="str">
        <f t="shared" si="24"/>
        <v>rokwzgl=19 i lp=720</v>
      </c>
      <c r="Y82" s="27" t="str">
        <f t="shared" si="24"/>
        <v>rokwzgl=20 i lp=720</v>
      </c>
      <c r="Z82" s="27" t="str">
        <f t="shared" si="24"/>
        <v>rokwzgl=21 i lp=720</v>
      </c>
      <c r="AA82" s="27" t="str">
        <f t="shared" si="24"/>
        <v>rokwzgl=22 i lp=720</v>
      </c>
      <c r="AB82" s="27" t="str">
        <f t="shared" si="24"/>
        <v>rokwzgl=23 i lp=720</v>
      </c>
      <c r="AC82" s="27" t="str">
        <f t="shared" si="24"/>
        <v>rokwzgl=24 i lp=720</v>
      </c>
      <c r="AD82" s="27" t="str">
        <f t="shared" si="24"/>
        <v>rokwzgl=25 i lp=720</v>
      </c>
      <c r="AE82" s="27" t="str">
        <f t="shared" si="24"/>
        <v>rokwzgl=26 i lp=720</v>
      </c>
      <c r="AF82" s="27" t="str">
        <f t="shared" si="24"/>
        <v>rokwzgl=27 i lp=720</v>
      </c>
      <c r="AG82" s="27" t="str">
        <f t="shared" si="24"/>
        <v>rokwzgl=28 i lp=720</v>
      </c>
      <c r="AH82" s="27" t="str">
        <f t="shared" si="24"/>
        <v>rokwzgl=29 i lp=720</v>
      </c>
    </row>
    <row r="83" spans="1:34">
      <c r="A83" s="26">
        <v>730</v>
      </c>
      <c r="B83" s="26">
        <v>12.3</v>
      </c>
      <c r="C83" s="27" t="s">
        <v>145</v>
      </c>
      <c r="D83" s="27" t="str">
        <f t="shared" si="22"/>
        <v>rokwzgl=0 i lp=730</v>
      </c>
      <c r="E83" s="27" t="str">
        <f t="shared" si="22"/>
        <v>rokwzgl=0 i lp=730</v>
      </c>
      <c r="F83" s="27" t="str">
        <f t="shared" si="22"/>
        <v>rokwzgl=1 i lp=730</v>
      </c>
      <c r="G83" s="27" t="str">
        <f t="shared" si="22"/>
        <v>rokwzgl=2 i lp=730</v>
      </c>
      <c r="H83" s="27" t="str">
        <f t="shared" si="22"/>
        <v>rokwzgl=3 i lp=730</v>
      </c>
      <c r="I83" s="27" t="str">
        <f t="shared" si="22"/>
        <v>rokwzgl=4 i lp=730</v>
      </c>
      <c r="J83" s="27" t="str">
        <f t="shared" si="22"/>
        <v>rokwzgl=5 i lp=730</v>
      </c>
      <c r="K83" s="27" t="str">
        <f t="shared" si="22"/>
        <v>rokwzgl=6 i lp=730</v>
      </c>
      <c r="L83" s="27" t="str">
        <f t="shared" si="22"/>
        <v>rokwzgl=7 i lp=730</v>
      </c>
      <c r="M83" s="27" t="str">
        <f t="shared" si="22"/>
        <v>rokwzgl=8 i lp=730</v>
      </c>
      <c r="N83" s="27" t="str">
        <f t="shared" si="23"/>
        <v>rokwzgl=9 i lp=730</v>
      </c>
      <c r="O83" s="27" t="str">
        <f t="shared" si="23"/>
        <v>rokwzgl=10 i lp=730</v>
      </c>
      <c r="P83" s="27" t="str">
        <f t="shared" si="23"/>
        <v>rokwzgl=11 i lp=730</v>
      </c>
      <c r="Q83" s="27" t="str">
        <f t="shared" si="23"/>
        <v>rokwzgl=12 i lp=730</v>
      </c>
      <c r="R83" s="27" t="str">
        <f t="shared" si="23"/>
        <v>rokwzgl=13 i lp=730</v>
      </c>
      <c r="S83" s="27" t="str">
        <f t="shared" si="23"/>
        <v>rokwzgl=14 i lp=730</v>
      </c>
      <c r="T83" s="27" t="str">
        <f t="shared" si="23"/>
        <v>rokwzgl=15 i lp=730</v>
      </c>
      <c r="U83" s="27" t="str">
        <f t="shared" si="23"/>
        <v>rokwzgl=16 i lp=730</v>
      </c>
      <c r="V83" s="27" t="str">
        <f t="shared" si="23"/>
        <v>rokwzgl=17 i lp=730</v>
      </c>
      <c r="W83" s="27" t="str">
        <f t="shared" si="23"/>
        <v>rokwzgl=18 i lp=730</v>
      </c>
      <c r="X83" s="27" t="str">
        <f t="shared" si="24"/>
        <v>rokwzgl=19 i lp=730</v>
      </c>
      <c r="Y83" s="27" t="str">
        <f t="shared" si="24"/>
        <v>rokwzgl=20 i lp=730</v>
      </c>
      <c r="Z83" s="27" t="str">
        <f t="shared" si="24"/>
        <v>rokwzgl=21 i lp=730</v>
      </c>
      <c r="AA83" s="27" t="str">
        <f t="shared" si="24"/>
        <v>rokwzgl=22 i lp=730</v>
      </c>
      <c r="AB83" s="27" t="str">
        <f t="shared" si="24"/>
        <v>rokwzgl=23 i lp=730</v>
      </c>
      <c r="AC83" s="27" t="str">
        <f t="shared" si="24"/>
        <v>rokwzgl=24 i lp=730</v>
      </c>
      <c r="AD83" s="27" t="str">
        <f t="shared" si="24"/>
        <v>rokwzgl=25 i lp=730</v>
      </c>
      <c r="AE83" s="27" t="str">
        <f t="shared" si="24"/>
        <v>rokwzgl=26 i lp=730</v>
      </c>
      <c r="AF83" s="27" t="str">
        <f t="shared" si="24"/>
        <v>rokwzgl=27 i lp=730</v>
      </c>
      <c r="AG83" s="27" t="str">
        <f t="shared" si="24"/>
        <v>rokwzgl=28 i lp=730</v>
      </c>
      <c r="AH83" s="27" t="str">
        <f t="shared" si="24"/>
        <v>rokwzgl=29 i lp=730</v>
      </c>
    </row>
    <row r="84" spans="1:34">
      <c r="A84" s="26">
        <v>740</v>
      </c>
      <c r="B84" s="26" t="s">
        <v>146</v>
      </c>
      <c r="C84" s="27" t="s">
        <v>147</v>
      </c>
      <c r="D84" s="27" t="str">
        <f t="shared" si="22"/>
        <v>rokwzgl=0 i lp=740</v>
      </c>
      <c r="E84" s="27" t="str">
        <f t="shared" si="22"/>
        <v>rokwzgl=0 i lp=740</v>
      </c>
      <c r="F84" s="27" t="str">
        <f t="shared" si="22"/>
        <v>rokwzgl=1 i lp=740</v>
      </c>
      <c r="G84" s="27" t="str">
        <f t="shared" si="22"/>
        <v>rokwzgl=2 i lp=740</v>
      </c>
      <c r="H84" s="27" t="str">
        <f t="shared" si="22"/>
        <v>rokwzgl=3 i lp=740</v>
      </c>
      <c r="I84" s="27" t="str">
        <f t="shared" si="22"/>
        <v>rokwzgl=4 i lp=740</v>
      </c>
      <c r="J84" s="27" t="str">
        <f t="shared" si="22"/>
        <v>rokwzgl=5 i lp=740</v>
      </c>
      <c r="K84" s="27" t="str">
        <f t="shared" si="22"/>
        <v>rokwzgl=6 i lp=740</v>
      </c>
      <c r="L84" s="27" t="str">
        <f t="shared" si="22"/>
        <v>rokwzgl=7 i lp=740</v>
      </c>
      <c r="M84" s="27" t="str">
        <f t="shared" si="22"/>
        <v>rokwzgl=8 i lp=740</v>
      </c>
      <c r="N84" s="27" t="str">
        <f t="shared" si="23"/>
        <v>rokwzgl=9 i lp=740</v>
      </c>
      <c r="O84" s="27" t="str">
        <f t="shared" si="23"/>
        <v>rokwzgl=10 i lp=740</v>
      </c>
      <c r="P84" s="27" t="str">
        <f t="shared" si="23"/>
        <v>rokwzgl=11 i lp=740</v>
      </c>
      <c r="Q84" s="27" t="str">
        <f t="shared" si="23"/>
        <v>rokwzgl=12 i lp=740</v>
      </c>
      <c r="R84" s="27" t="str">
        <f t="shared" si="23"/>
        <v>rokwzgl=13 i lp=740</v>
      </c>
      <c r="S84" s="27" t="str">
        <f t="shared" si="23"/>
        <v>rokwzgl=14 i lp=740</v>
      </c>
      <c r="T84" s="27" t="str">
        <f t="shared" si="23"/>
        <v>rokwzgl=15 i lp=740</v>
      </c>
      <c r="U84" s="27" t="str">
        <f t="shared" si="23"/>
        <v>rokwzgl=16 i lp=740</v>
      </c>
      <c r="V84" s="27" t="str">
        <f t="shared" si="23"/>
        <v>rokwzgl=17 i lp=740</v>
      </c>
      <c r="W84" s="27" t="str">
        <f t="shared" si="23"/>
        <v>rokwzgl=18 i lp=740</v>
      </c>
      <c r="X84" s="27" t="str">
        <f t="shared" si="24"/>
        <v>rokwzgl=19 i lp=740</v>
      </c>
      <c r="Y84" s="27" t="str">
        <f t="shared" si="24"/>
        <v>rokwzgl=20 i lp=740</v>
      </c>
      <c r="Z84" s="27" t="str">
        <f t="shared" si="24"/>
        <v>rokwzgl=21 i lp=740</v>
      </c>
      <c r="AA84" s="27" t="str">
        <f t="shared" si="24"/>
        <v>rokwzgl=22 i lp=740</v>
      </c>
      <c r="AB84" s="27" t="str">
        <f t="shared" si="24"/>
        <v>rokwzgl=23 i lp=740</v>
      </c>
      <c r="AC84" s="27" t="str">
        <f t="shared" si="24"/>
        <v>rokwzgl=24 i lp=740</v>
      </c>
      <c r="AD84" s="27" t="str">
        <f t="shared" si="24"/>
        <v>rokwzgl=25 i lp=740</v>
      </c>
      <c r="AE84" s="27" t="str">
        <f t="shared" si="24"/>
        <v>rokwzgl=26 i lp=740</v>
      </c>
      <c r="AF84" s="27" t="str">
        <f t="shared" si="24"/>
        <v>rokwzgl=27 i lp=740</v>
      </c>
      <c r="AG84" s="27" t="str">
        <f t="shared" si="24"/>
        <v>rokwzgl=28 i lp=740</v>
      </c>
      <c r="AH84" s="27" t="str">
        <f t="shared" si="24"/>
        <v>rokwzgl=29 i lp=740</v>
      </c>
    </row>
    <row r="85" spans="1:34">
      <c r="A85" s="26">
        <v>750</v>
      </c>
      <c r="B85" s="26" t="s">
        <v>148</v>
      </c>
      <c r="C85" s="27" t="s">
        <v>149</v>
      </c>
      <c r="D85" s="27" t="str">
        <f t="shared" si="22"/>
        <v>rokwzgl=0 i lp=750</v>
      </c>
      <c r="E85" s="27" t="str">
        <f t="shared" si="22"/>
        <v>rokwzgl=0 i lp=750</v>
      </c>
      <c r="F85" s="27" t="str">
        <f t="shared" si="22"/>
        <v>rokwzgl=1 i lp=750</v>
      </c>
      <c r="G85" s="27" t="str">
        <f t="shared" si="22"/>
        <v>rokwzgl=2 i lp=750</v>
      </c>
      <c r="H85" s="27" t="str">
        <f t="shared" si="22"/>
        <v>rokwzgl=3 i lp=750</v>
      </c>
      <c r="I85" s="27" t="str">
        <f t="shared" si="22"/>
        <v>rokwzgl=4 i lp=750</v>
      </c>
      <c r="J85" s="27" t="str">
        <f t="shared" si="22"/>
        <v>rokwzgl=5 i lp=750</v>
      </c>
      <c r="K85" s="27" t="str">
        <f t="shared" si="22"/>
        <v>rokwzgl=6 i lp=750</v>
      </c>
      <c r="L85" s="27" t="str">
        <f t="shared" si="22"/>
        <v>rokwzgl=7 i lp=750</v>
      </c>
      <c r="M85" s="27" t="str">
        <f t="shared" si="22"/>
        <v>rokwzgl=8 i lp=750</v>
      </c>
      <c r="N85" s="27" t="str">
        <f t="shared" si="23"/>
        <v>rokwzgl=9 i lp=750</v>
      </c>
      <c r="O85" s="27" t="str">
        <f t="shared" si="23"/>
        <v>rokwzgl=10 i lp=750</v>
      </c>
      <c r="P85" s="27" t="str">
        <f t="shared" si="23"/>
        <v>rokwzgl=11 i lp=750</v>
      </c>
      <c r="Q85" s="27" t="str">
        <f t="shared" si="23"/>
        <v>rokwzgl=12 i lp=750</v>
      </c>
      <c r="R85" s="27" t="str">
        <f t="shared" si="23"/>
        <v>rokwzgl=13 i lp=750</v>
      </c>
      <c r="S85" s="27" t="str">
        <f t="shared" si="23"/>
        <v>rokwzgl=14 i lp=750</v>
      </c>
      <c r="T85" s="27" t="str">
        <f t="shared" si="23"/>
        <v>rokwzgl=15 i lp=750</v>
      </c>
      <c r="U85" s="27" t="str">
        <f t="shared" si="23"/>
        <v>rokwzgl=16 i lp=750</v>
      </c>
      <c r="V85" s="27" t="str">
        <f t="shared" si="23"/>
        <v>rokwzgl=17 i lp=750</v>
      </c>
      <c r="W85" s="27" t="str">
        <f t="shared" si="23"/>
        <v>rokwzgl=18 i lp=750</v>
      </c>
      <c r="X85" s="27" t="str">
        <f t="shared" si="24"/>
        <v>rokwzgl=19 i lp=750</v>
      </c>
      <c r="Y85" s="27" t="str">
        <f t="shared" si="24"/>
        <v>rokwzgl=20 i lp=750</v>
      </c>
      <c r="Z85" s="27" t="str">
        <f t="shared" si="24"/>
        <v>rokwzgl=21 i lp=750</v>
      </c>
      <c r="AA85" s="27" t="str">
        <f t="shared" si="24"/>
        <v>rokwzgl=22 i lp=750</v>
      </c>
      <c r="AB85" s="27" t="str">
        <f t="shared" si="24"/>
        <v>rokwzgl=23 i lp=750</v>
      </c>
      <c r="AC85" s="27" t="str">
        <f t="shared" si="24"/>
        <v>rokwzgl=24 i lp=750</v>
      </c>
      <c r="AD85" s="27" t="str">
        <f t="shared" si="24"/>
        <v>rokwzgl=25 i lp=750</v>
      </c>
      <c r="AE85" s="27" t="str">
        <f t="shared" si="24"/>
        <v>rokwzgl=26 i lp=750</v>
      </c>
      <c r="AF85" s="27" t="str">
        <f t="shared" si="24"/>
        <v>rokwzgl=27 i lp=750</v>
      </c>
      <c r="AG85" s="27" t="str">
        <f t="shared" si="24"/>
        <v>rokwzgl=28 i lp=750</v>
      </c>
      <c r="AH85" s="27" t="str">
        <f t="shared" si="24"/>
        <v>rokwzgl=29 i lp=750</v>
      </c>
    </row>
    <row r="86" spans="1:34">
      <c r="A86" s="26">
        <v>760</v>
      </c>
      <c r="B86" s="26">
        <v>12.4</v>
      </c>
      <c r="C86" s="27" t="s">
        <v>150</v>
      </c>
      <c r="D86" s="27" t="str">
        <f t="shared" si="22"/>
        <v>rokwzgl=0 i lp=760</v>
      </c>
      <c r="E86" s="27" t="str">
        <f t="shared" si="22"/>
        <v>rokwzgl=0 i lp=760</v>
      </c>
      <c r="F86" s="27" t="str">
        <f t="shared" si="22"/>
        <v>rokwzgl=1 i lp=760</v>
      </c>
      <c r="G86" s="27" t="str">
        <f t="shared" si="22"/>
        <v>rokwzgl=2 i lp=760</v>
      </c>
      <c r="H86" s="27" t="str">
        <f t="shared" si="22"/>
        <v>rokwzgl=3 i lp=760</v>
      </c>
      <c r="I86" s="27" t="str">
        <f t="shared" si="22"/>
        <v>rokwzgl=4 i lp=760</v>
      </c>
      <c r="J86" s="27" t="str">
        <f t="shared" si="22"/>
        <v>rokwzgl=5 i lp=760</v>
      </c>
      <c r="K86" s="27" t="str">
        <f t="shared" si="22"/>
        <v>rokwzgl=6 i lp=760</v>
      </c>
      <c r="L86" s="27" t="str">
        <f t="shared" si="22"/>
        <v>rokwzgl=7 i lp=760</v>
      </c>
      <c r="M86" s="27" t="str">
        <f t="shared" si="22"/>
        <v>rokwzgl=8 i lp=760</v>
      </c>
      <c r="N86" s="27" t="str">
        <f t="shared" si="23"/>
        <v>rokwzgl=9 i lp=760</v>
      </c>
      <c r="O86" s="27" t="str">
        <f t="shared" si="23"/>
        <v>rokwzgl=10 i lp=760</v>
      </c>
      <c r="P86" s="27" t="str">
        <f t="shared" si="23"/>
        <v>rokwzgl=11 i lp=760</v>
      </c>
      <c r="Q86" s="27" t="str">
        <f t="shared" si="23"/>
        <v>rokwzgl=12 i lp=760</v>
      </c>
      <c r="R86" s="27" t="str">
        <f t="shared" si="23"/>
        <v>rokwzgl=13 i lp=760</v>
      </c>
      <c r="S86" s="27" t="str">
        <f t="shared" si="23"/>
        <v>rokwzgl=14 i lp=760</v>
      </c>
      <c r="T86" s="27" t="str">
        <f t="shared" si="23"/>
        <v>rokwzgl=15 i lp=760</v>
      </c>
      <c r="U86" s="27" t="str">
        <f t="shared" si="23"/>
        <v>rokwzgl=16 i lp=760</v>
      </c>
      <c r="V86" s="27" t="str">
        <f t="shared" si="23"/>
        <v>rokwzgl=17 i lp=760</v>
      </c>
      <c r="W86" s="27" t="str">
        <f t="shared" si="23"/>
        <v>rokwzgl=18 i lp=760</v>
      </c>
      <c r="X86" s="27" t="str">
        <f t="shared" si="24"/>
        <v>rokwzgl=19 i lp=760</v>
      </c>
      <c r="Y86" s="27" t="str">
        <f t="shared" si="24"/>
        <v>rokwzgl=20 i lp=760</v>
      </c>
      <c r="Z86" s="27" t="str">
        <f t="shared" si="24"/>
        <v>rokwzgl=21 i lp=760</v>
      </c>
      <c r="AA86" s="27" t="str">
        <f t="shared" si="24"/>
        <v>rokwzgl=22 i lp=760</v>
      </c>
      <c r="AB86" s="27" t="str">
        <f t="shared" si="24"/>
        <v>rokwzgl=23 i lp=760</v>
      </c>
      <c r="AC86" s="27" t="str">
        <f t="shared" si="24"/>
        <v>rokwzgl=24 i lp=760</v>
      </c>
      <c r="AD86" s="27" t="str">
        <f t="shared" si="24"/>
        <v>rokwzgl=25 i lp=760</v>
      </c>
      <c r="AE86" s="27" t="str">
        <f t="shared" si="24"/>
        <v>rokwzgl=26 i lp=760</v>
      </c>
      <c r="AF86" s="27" t="str">
        <f t="shared" si="24"/>
        <v>rokwzgl=27 i lp=760</v>
      </c>
      <c r="AG86" s="27" t="str">
        <f t="shared" si="24"/>
        <v>rokwzgl=28 i lp=760</v>
      </c>
      <c r="AH86" s="27" t="str">
        <f t="shared" si="24"/>
        <v>rokwzgl=29 i lp=760</v>
      </c>
    </row>
    <row r="87" spans="1:34">
      <c r="A87" s="26">
        <v>770</v>
      </c>
      <c r="B87" s="26" t="s">
        <v>151</v>
      </c>
      <c r="C87" s="27" t="s">
        <v>152</v>
      </c>
      <c r="D87" s="27" t="str">
        <f t="shared" si="22"/>
        <v>rokwzgl=0 i lp=770</v>
      </c>
      <c r="E87" s="27" t="str">
        <f t="shared" si="22"/>
        <v>rokwzgl=0 i lp=770</v>
      </c>
      <c r="F87" s="27" t="str">
        <f t="shared" si="22"/>
        <v>rokwzgl=1 i lp=770</v>
      </c>
      <c r="G87" s="27" t="str">
        <f t="shared" si="22"/>
        <v>rokwzgl=2 i lp=770</v>
      </c>
      <c r="H87" s="27" t="str">
        <f t="shared" si="22"/>
        <v>rokwzgl=3 i lp=770</v>
      </c>
      <c r="I87" s="27" t="str">
        <f t="shared" si="22"/>
        <v>rokwzgl=4 i lp=770</v>
      </c>
      <c r="J87" s="27" t="str">
        <f t="shared" si="22"/>
        <v>rokwzgl=5 i lp=770</v>
      </c>
      <c r="K87" s="27" t="str">
        <f t="shared" si="22"/>
        <v>rokwzgl=6 i lp=770</v>
      </c>
      <c r="L87" s="27" t="str">
        <f t="shared" si="22"/>
        <v>rokwzgl=7 i lp=770</v>
      </c>
      <c r="M87" s="27" t="str">
        <f t="shared" si="22"/>
        <v>rokwzgl=8 i lp=770</v>
      </c>
      <c r="N87" s="27" t="str">
        <f t="shared" si="23"/>
        <v>rokwzgl=9 i lp=770</v>
      </c>
      <c r="O87" s="27" t="str">
        <f t="shared" si="23"/>
        <v>rokwzgl=10 i lp=770</v>
      </c>
      <c r="P87" s="27" t="str">
        <f t="shared" si="23"/>
        <v>rokwzgl=11 i lp=770</v>
      </c>
      <c r="Q87" s="27" t="str">
        <f t="shared" si="23"/>
        <v>rokwzgl=12 i lp=770</v>
      </c>
      <c r="R87" s="27" t="str">
        <f t="shared" si="23"/>
        <v>rokwzgl=13 i lp=770</v>
      </c>
      <c r="S87" s="27" t="str">
        <f t="shared" si="23"/>
        <v>rokwzgl=14 i lp=770</v>
      </c>
      <c r="T87" s="27" t="str">
        <f t="shared" si="23"/>
        <v>rokwzgl=15 i lp=770</v>
      </c>
      <c r="U87" s="27" t="str">
        <f t="shared" si="23"/>
        <v>rokwzgl=16 i lp=770</v>
      </c>
      <c r="V87" s="27" t="str">
        <f t="shared" si="23"/>
        <v>rokwzgl=17 i lp=770</v>
      </c>
      <c r="W87" s="27" t="str">
        <f t="shared" si="23"/>
        <v>rokwzgl=18 i lp=770</v>
      </c>
      <c r="X87" s="27" t="str">
        <f t="shared" si="24"/>
        <v>rokwzgl=19 i lp=770</v>
      </c>
      <c r="Y87" s="27" t="str">
        <f t="shared" si="24"/>
        <v>rokwzgl=20 i lp=770</v>
      </c>
      <c r="Z87" s="27" t="str">
        <f t="shared" si="24"/>
        <v>rokwzgl=21 i lp=770</v>
      </c>
      <c r="AA87" s="27" t="str">
        <f t="shared" si="24"/>
        <v>rokwzgl=22 i lp=770</v>
      </c>
      <c r="AB87" s="27" t="str">
        <f t="shared" si="24"/>
        <v>rokwzgl=23 i lp=770</v>
      </c>
      <c r="AC87" s="27" t="str">
        <f t="shared" si="24"/>
        <v>rokwzgl=24 i lp=770</v>
      </c>
      <c r="AD87" s="27" t="str">
        <f t="shared" si="24"/>
        <v>rokwzgl=25 i lp=770</v>
      </c>
      <c r="AE87" s="27" t="str">
        <f t="shared" si="24"/>
        <v>rokwzgl=26 i lp=770</v>
      </c>
      <c r="AF87" s="27" t="str">
        <f t="shared" si="24"/>
        <v>rokwzgl=27 i lp=770</v>
      </c>
      <c r="AG87" s="27" t="str">
        <f t="shared" si="24"/>
        <v>rokwzgl=28 i lp=770</v>
      </c>
      <c r="AH87" s="27" t="str">
        <f t="shared" si="24"/>
        <v>rokwzgl=29 i lp=770</v>
      </c>
    </row>
    <row r="88" spans="1:34">
      <c r="A88" s="26">
        <v>780</v>
      </c>
      <c r="B88" s="26" t="s">
        <v>153</v>
      </c>
      <c r="C88" s="27" t="s">
        <v>154</v>
      </c>
      <c r="D88" s="27" t="str">
        <f t="shared" si="22"/>
        <v>rokwzgl=0 i lp=780</v>
      </c>
      <c r="E88" s="27" t="str">
        <f t="shared" si="22"/>
        <v>rokwzgl=0 i lp=780</v>
      </c>
      <c r="F88" s="27" t="str">
        <f t="shared" si="22"/>
        <v>rokwzgl=1 i lp=780</v>
      </c>
      <c r="G88" s="27" t="str">
        <f t="shared" si="22"/>
        <v>rokwzgl=2 i lp=780</v>
      </c>
      <c r="H88" s="27" t="str">
        <f t="shared" si="22"/>
        <v>rokwzgl=3 i lp=780</v>
      </c>
      <c r="I88" s="27" t="str">
        <f t="shared" si="22"/>
        <v>rokwzgl=4 i lp=780</v>
      </c>
      <c r="J88" s="27" t="str">
        <f t="shared" si="22"/>
        <v>rokwzgl=5 i lp=780</v>
      </c>
      <c r="K88" s="27" t="str">
        <f t="shared" si="22"/>
        <v>rokwzgl=6 i lp=780</v>
      </c>
      <c r="L88" s="27" t="str">
        <f t="shared" si="22"/>
        <v>rokwzgl=7 i lp=780</v>
      </c>
      <c r="M88" s="27" t="str">
        <f t="shared" si="22"/>
        <v>rokwzgl=8 i lp=780</v>
      </c>
      <c r="N88" s="27" t="str">
        <f t="shared" si="23"/>
        <v>rokwzgl=9 i lp=780</v>
      </c>
      <c r="O88" s="27" t="str">
        <f t="shared" si="23"/>
        <v>rokwzgl=10 i lp=780</v>
      </c>
      <c r="P88" s="27" t="str">
        <f t="shared" si="23"/>
        <v>rokwzgl=11 i lp=780</v>
      </c>
      <c r="Q88" s="27" t="str">
        <f t="shared" si="23"/>
        <v>rokwzgl=12 i lp=780</v>
      </c>
      <c r="R88" s="27" t="str">
        <f t="shared" si="23"/>
        <v>rokwzgl=13 i lp=780</v>
      </c>
      <c r="S88" s="27" t="str">
        <f t="shared" si="23"/>
        <v>rokwzgl=14 i lp=780</v>
      </c>
      <c r="T88" s="27" t="str">
        <f t="shared" si="23"/>
        <v>rokwzgl=15 i lp=780</v>
      </c>
      <c r="U88" s="27" t="str">
        <f t="shared" si="23"/>
        <v>rokwzgl=16 i lp=780</v>
      </c>
      <c r="V88" s="27" t="str">
        <f t="shared" si="23"/>
        <v>rokwzgl=17 i lp=780</v>
      </c>
      <c r="W88" s="27" t="str">
        <f t="shared" si="23"/>
        <v>rokwzgl=18 i lp=780</v>
      </c>
      <c r="X88" s="27" t="str">
        <f t="shared" si="24"/>
        <v>rokwzgl=19 i lp=780</v>
      </c>
      <c r="Y88" s="27" t="str">
        <f t="shared" si="24"/>
        <v>rokwzgl=20 i lp=780</v>
      </c>
      <c r="Z88" s="27" t="str">
        <f t="shared" si="24"/>
        <v>rokwzgl=21 i lp=780</v>
      </c>
      <c r="AA88" s="27" t="str">
        <f t="shared" si="24"/>
        <v>rokwzgl=22 i lp=780</v>
      </c>
      <c r="AB88" s="27" t="str">
        <f t="shared" si="24"/>
        <v>rokwzgl=23 i lp=780</v>
      </c>
      <c r="AC88" s="27" t="str">
        <f t="shared" si="24"/>
        <v>rokwzgl=24 i lp=780</v>
      </c>
      <c r="AD88" s="27" t="str">
        <f t="shared" si="24"/>
        <v>rokwzgl=25 i lp=780</v>
      </c>
      <c r="AE88" s="27" t="str">
        <f t="shared" si="24"/>
        <v>rokwzgl=26 i lp=780</v>
      </c>
      <c r="AF88" s="27" t="str">
        <f t="shared" si="24"/>
        <v>rokwzgl=27 i lp=780</v>
      </c>
      <c r="AG88" s="27" t="str">
        <f t="shared" si="24"/>
        <v>rokwzgl=28 i lp=780</v>
      </c>
      <c r="AH88" s="27" t="str">
        <f t="shared" si="24"/>
        <v>rokwzgl=29 i lp=780</v>
      </c>
    </row>
    <row r="89" spans="1:34">
      <c r="A89" s="26">
        <v>790</v>
      </c>
      <c r="B89" s="26">
        <v>13</v>
      </c>
      <c r="C89" s="27" t="s">
        <v>155</v>
      </c>
      <c r="D89" s="27" t="str">
        <f t="shared" si="22"/>
        <v>rokwzgl=0 i lp=790</v>
      </c>
      <c r="E89" s="27" t="str">
        <f t="shared" si="22"/>
        <v>rokwzgl=0 i lp=790</v>
      </c>
      <c r="F89" s="27" t="str">
        <f t="shared" si="22"/>
        <v>rokwzgl=1 i lp=790</v>
      </c>
      <c r="G89" s="27" t="str">
        <f t="shared" si="22"/>
        <v>rokwzgl=2 i lp=790</v>
      </c>
      <c r="H89" s="27" t="str">
        <f t="shared" si="22"/>
        <v>rokwzgl=3 i lp=790</v>
      </c>
      <c r="I89" s="27" t="str">
        <f t="shared" si="22"/>
        <v>rokwzgl=4 i lp=790</v>
      </c>
      <c r="J89" s="27" t="str">
        <f t="shared" si="22"/>
        <v>rokwzgl=5 i lp=790</v>
      </c>
      <c r="K89" s="27" t="str">
        <f t="shared" si="22"/>
        <v>rokwzgl=6 i lp=790</v>
      </c>
      <c r="L89" s="27" t="str">
        <f t="shared" si="22"/>
        <v>rokwzgl=7 i lp=790</v>
      </c>
      <c r="M89" s="27" t="str">
        <f t="shared" si="22"/>
        <v>rokwzgl=8 i lp=790</v>
      </c>
      <c r="N89" s="27" t="str">
        <f t="shared" si="23"/>
        <v>rokwzgl=9 i lp=790</v>
      </c>
      <c r="O89" s="27" t="str">
        <f t="shared" si="23"/>
        <v>rokwzgl=10 i lp=790</v>
      </c>
      <c r="P89" s="27" t="str">
        <f t="shared" si="23"/>
        <v>rokwzgl=11 i lp=790</v>
      </c>
      <c r="Q89" s="27" t="str">
        <f t="shared" si="23"/>
        <v>rokwzgl=12 i lp=790</v>
      </c>
      <c r="R89" s="27" t="str">
        <f t="shared" si="23"/>
        <v>rokwzgl=13 i lp=790</v>
      </c>
      <c r="S89" s="27" t="str">
        <f t="shared" si="23"/>
        <v>rokwzgl=14 i lp=790</v>
      </c>
      <c r="T89" s="27" t="str">
        <f t="shared" si="23"/>
        <v>rokwzgl=15 i lp=790</v>
      </c>
      <c r="U89" s="27" t="str">
        <f t="shared" si="23"/>
        <v>rokwzgl=16 i lp=790</v>
      </c>
      <c r="V89" s="27" t="str">
        <f t="shared" si="23"/>
        <v>rokwzgl=17 i lp=790</v>
      </c>
      <c r="W89" s="27" t="str">
        <f t="shared" si="23"/>
        <v>rokwzgl=18 i lp=790</v>
      </c>
      <c r="X89" s="27" t="str">
        <f t="shared" si="24"/>
        <v>rokwzgl=19 i lp=790</v>
      </c>
      <c r="Y89" s="27" t="str">
        <f t="shared" si="24"/>
        <v>rokwzgl=20 i lp=790</v>
      </c>
      <c r="Z89" s="27" t="str">
        <f t="shared" si="24"/>
        <v>rokwzgl=21 i lp=790</v>
      </c>
      <c r="AA89" s="27" t="str">
        <f t="shared" si="24"/>
        <v>rokwzgl=22 i lp=790</v>
      </c>
      <c r="AB89" s="27" t="str">
        <f t="shared" si="24"/>
        <v>rokwzgl=23 i lp=790</v>
      </c>
      <c r="AC89" s="27" t="str">
        <f t="shared" si="24"/>
        <v>rokwzgl=24 i lp=790</v>
      </c>
      <c r="AD89" s="27" t="str">
        <f t="shared" si="24"/>
        <v>rokwzgl=25 i lp=790</v>
      </c>
      <c r="AE89" s="27" t="str">
        <f t="shared" si="24"/>
        <v>rokwzgl=26 i lp=790</v>
      </c>
      <c r="AF89" s="27" t="str">
        <f t="shared" si="24"/>
        <v>rokwzgl=27 i lp=790</v>
      </c>
      <c r="AG89" s="27" t="str">
        <f t="shared" si="24"/>
        <v>rokwzgl=28 i lp=790</v>
      </c>
      <c r="AH89" s="27" t="str">
        <f t="shared" si="24"/>
        <v>rokwzgl=29 i lp=790</v>
      </c>
    </row>
    <row r="90" spans="1:34">
      <c r="A90" s="26">
        <v>800</v>
      </c>
      <c r="B90" s="26">
        <v>13.1</v>
      </c>
      <c r="C90" s="27" t="s">
        <v>156</v>
      </c>
      <c r="D90" s="27" t="str">
        <f t="shared" ref="D90:M104" si="25">+"rokwzgl="&amp;D$9&amp;" i lp="&amp;$A90</f>
        <v>rokwzgl=0 i lp=800</v>
      </c>
      <c r="E90" s="27" t="str">
        <f t="shared" si="25"/>
        <v>rokwzgl=0 i lp=800</v>
      </c>
      <c r="F90" s="27" t="str">
        <f t="shared" si="25"/>
        <v>rokwzgl=1 i lp=800</v>
      </c>
      <c r="G90" s="27" t="str">
        <f t="shared" si="25"/>
        <v>rokwzgl=2 i lp=800</v>
      </c>
      <c r="H90" s="27" t="str">
        <f t="shared" si="25"/>
        <v>rokwzgl=3 i lp=800</v>
      </c>
      <c r="I90" s="27" t="str">
        <f t="shared" si="25"/>
        <v>rokwzgl=4 i lp=800</v>
      </c>
      <c r="J90" s="27" t="str">
        <f t="shared" si="25"/>
        <v>rokwzgl=5 i lp=800</v>
      </c>
      <c r="K90" s="27" t="str">
        <f t="shared" si="25"/>
        <v>rokwzgl=6 i lp=800</v>
      </c>
      <c r="L90" s="27" t="str">
        <f t="shared" si="25"/>
        <v>rokwzgl=7 i lp=800</v>
      </c>
      <c r="M90" s="27" t="str">
        <f t="shared" si="25"/>
        <v>rokwzgl=8 i lp=800</v>
      </c>
      <c r="N90" s="27" t="str">
        <f t="shared" ref="N90:W104" si="26">+"rokwzgl="&amp;N$9&amp;" i lp="&amp;$A90</f>
        <v>rokwzgl=9 i lp=800</v>
      </c>
      <c r="O90" s="27" t="str">
        <f t="shared" si="26"/>
        <v>rokwzgl=10 i lp=800</v>
      </c>
      <c r="P90" s="27" t="str">
        <f t="shared" si="26"/>
        <v>rokwzgl=11 i lp=800</v>
      </c>
      <c r="Q90" s="27" t="str">
        <f t="shared" si="26"/>
        <v>rokwzgl=12 i lp=800</v>
      </c>
      <c r="R90" s="27" t="str">
        <f t="shared" si="26"/>
        <v>rokwzgl=13 i lp=800</v>
      </c>
      <c r="S90" s="27" t="str">
        <f t="shared" si="26"/>
        <v>rokwzgl=14 i lp=800</v>
      </c>
      <c r="T90" s="27" t="str">
        <f t="shared" si="26"/>
        <v>rokwzgl=15 i lp=800</v>
      </c>
      <c r="U90" s="27" t="str">
        <f t="shared" si="26"/>
        <v>rokwzgl=16 i lp=800</v>
      </c>
      <c r="V90" s="27" t="str">
        <f t="shared" si="26"/>
        <v>rokwzgl=17 i lp=800</v>
      </c>
      <c r="W90" s="27" t="str">
        <f t="shared" si="26"/>
        <v>rokwzgl=18 i lp=800</v>
      </c>
      <c r="X90" s="27" t="str">
        <f t="shared" ref="X90:AH104" si="27">+"rokwzgl="&amp;X$9&amp;" i lp="&amp;$A90</f>
        <v>rokwzgl=19 i lp=800</v>
      </c>
      <c r="Y90" s="27" t="str">
        <f t="shared" si="27"/>
        <v>rokwzgl=20 i lp=800</v>
      </c>
      <c r="Z90" s="27" t="str">
        <f t="shared" si="27"/>
        <v>rokwzgl=21 i lp=800</v>
      </c>
      <c r="AA90" s="27" t="str">
        <f t="shared" si="27"/>
        <v>rokwzgl=22 i lp=800</v>
      </c>
      <c r="AB90" s="27" t="str">
        <f t="shared" si="27"/>
        <v>rokwzgl=23 i lp=800</v>
      </c>
      <c r="AC90" s="27" t="str">
        <f t="shared" si="27"/>
        <v>rokwzgl=24 i lp=800</v>
      </c>
      <c r="AD90" s="27" t="str">
        <f t="shared" si="27"/>
        <v>rokwzgl=25 i lp=800</v>
      </c>
      <c r="AE90" s="27" t="str">
        <f t="shared" si="27"/>
        <v>rokwzgl=26 i lp=800</v>
      </c>
      <c r="AF90" s="27" t="str">
        <f t="shared" si="27"/>
        <v>rokwzgl=27 i lp=800</v>
      </c>
      <c r="AG90" s="27" t="str">
        <f t="shared" si="27"/>
        <v>rokwzgl=28 i lp=800</v>
      </c>
      <c r="AH90" s="27" t="str">
        <f t="shared" si="27"/>
        <v>rokwzgl=29 i lp=800</v>
      </c>
    </row>
    <row r="91" spans="1:34">
      <c r="A91" s="26">
        <v>810</v>
      </c>
      <c r="B91" s="26">
        <v>13.2</v>
      </c>
      <c r="C91" s="27" t="s">
        <v>157</v>
      </c>
      <c r="D91" s="27" t="str">
        <f t="shared" si="25"/>
        <v>rokwzgl=0 i lp=810</v>
      </c>
      <c r="E91" s="27" t="str">
        <f t="shared" si="25"/>
        <v>rokwzgl=0 i lp=810</v>
      </c>
      <c r="F91" s="27" t="str">
        <f t="shared" si="25"/>
        <v>rokwzgl=1 i lp=810</v>
      </c>
      <c r="G91" s="27" t="str">
        <f t="shared" si="25"/>
        <v>rokwzgl=2 i lp=810</v>
      </c>
      <c r="H91" s="27" t="str">
        <f t="shared" si="25"/>
        <v>rokwzgl=3 i lp=810</v>
      </c>
      <c r="I91" s="27" t="str">
        <f t="shared" si="25"/>
        <v>rokwzgl=4 i lp=810</v>
      </c>
      <c r="J91" s="27" t="str">
        <f t="shared" si="25"/>
        <v>rokwzgl=5 i lp=810</v>
      </c>
      <c r="K91" s="27" t="str">
        <f t="shared" si="25"/>
        <v>rokwzgl=6 i lp=810</v>
      </c>
      <c r="L91" s="27" t="str">
        <f t="shared" si="25"/>
        <v>rokwzgl=7 i lp=810</v>
      </c>
      <c r="M91" s="27" t="str">
        <f t="shared" si="25"/>
        <v>rokwzgl=8 i lp=810</v>
      </c>
      <c r="N91" s="27" t="str">
        <f t="shared" si="26"/>
        <v>rokwzgl=9 i lp=810</v>
      </c>
      <c r="O91" s="27" t="str">
        <f t="shared" si="26"/>
        <v>rokwzgl=10 i lp=810</v>
      </c>
      <c r="P91" s="27" t="str">
        <f t="shared" si="26"/>
        <v>rokwzgl=11 i lp=810</v>
      </c>
      <c r="Q91" s="27" t="str">
        <f t="shared" si="26"/>
        <v>rokwzgl=12 i lp=810</v>
      </c>
      <c r="R91" s="27" t="str">
        <f t="shared" si="26"/>
        <v>rokwzgl=13 i lp=810</v>
      </c>
      <c r="S91" s="27" t="str">
        <f t="shared" si="26"/>
        <v>rokwzgl=14 i lp=810</v>
      </c>
      <c r="T91" s="27" t="str">
        <f t="shared" si="26"/>
        <v>rokwzgl=15 i lp=810</v>
      </c>
      <c r="U91" s="27" t="str">
        <f t="shared" si="26"/>
        <v>rokwzgl=16 i lp=810</v>
      </c>
      <c r="V91" s="27" t="str">
        <f t="shared" si="26"/>
        <v>rokwzgl=17 i lp=810</v>
      </c>
      <c r="W91" s="27" t="str">
        <f t="shared" si="26"/>
        <v>rokwzgl=18 i lp=810</v>
      </c>
      <c r="X91" s="27" t="str">
        <f t="shared" si="27"/>
        <v>rokwzgl=19 i lp=810</v>
      </c>
      <c r="Y91" s="27" t="str">
        <f t="shared" si="27"/>
        <v>rokwzgl=20 i lp=810</v>
      </c>
      <c r="Z91" s="27" t="str">
        <f t="shared" si="27"/>
        <v>rokwzgl=21 i lp=810</v>
      </c>
      <c r="AA91" s="27" t="str">
        <f t="shared" si="27"/>
        <v>rokwzgl=22 i lp=810</v>
      </c>
      <c r="AB91" s="27" t="str">
        <f t="shared" si="27"/>
        <v>rokwzgl=23 i lp=810</v>
      </c>
      <c r="AC91" s="27" t="str">
        <f t="shared" si="27"/>
        <v>rokwzgl=24 i lp=810</v>
      </c>
      <c r="AD91" s="27" t="str">
        <f t="shared" si="27"/>
        <v>rokwzgl=25 i lp=810</v>
      </c>
      <c r="AE91" s="27" t="str">
        <f t="shared" si="27"/>
        <v>rokwzgl=26 i lp=810</v>
      </c>
      <c r="AF91" s="27" t="str">
        <f t="shared" si="27"/>
        <v>rokwzgl=27 i lp=810</v>
      </c>
      <c r="AG91" s="27" t="str">
        <f t="shared" si="27"/>
        <v>rokwzgl=28 i lp=810</v>
      </c>
      <c r="AH91" s="27" t="str">
        <f t="shared" si="27"/>
        <v>rokwzgl=29 i lp=810</v>
      </c>
    </row>
    <row r="92" spans="1:34">
      <c r="A92" s="26">
        <v>820</v>
      </c>
      <c r="B92" s="26">
        <v>13.3</v>
      </c>
      <c r="C92" s="27" t="s">
        <v>158</v>
      </c>
      <c r="D92" s="27" t="str">
        <f t="shared" si="25"/>
        <v>rokwzgl=0 i lp=820</v>
      </c>
      <c r="E92" s="27" t="str">
        <f t="shared" si="25"/>
        <v>rokwzgl=0 i lp=820</v>
      </c>
      <c r="F92" s="27" t="str">
        <f t="shared" si="25"/>
        <v>rokwzgl=1 i lp=820</v>
      </c>
      <c r="G92" s="27" t="str">
        <f t="shared" si="25"/>
        <v>rokwzgl=2 i lp=820</v>
      </c>
      <c r="H92" s="27" t="str">
        <f t="shared" si="25"/>
        <v>rokwzgl=3 i lp=820</v>
      </c>
      <c r="I92" s="27" t="str">
        <f t="shared" si="25"/>
        <v>rokwzgl=4 i lp=820</v>
      </c>
      <c r="J92" s="27" t="str">
        <f t="shared" si="25"/>
        <v>rokwzgl=5 i lp=820</v>
      </c>
      <c r="K92" s="27" t="str">
        <f t="shared" si="25"/>
        <v>rokwzgl=6 i lp=820</v>
      </c>
      <c r="L92" s="27" t="str">
        <f t="shared" si="25"/>
        <v>rokwzgl=7 i lp=820</v>
      </c>
      <c r="M92" s="27" t="str">
        <f t="shared" si="25"/>
        <v>rokwzgl=8 i lp=820</v>
      </c>
      <c r="N92" s="27" t="str">
        <f t="shared" si="26"/>
        <v>rokwzgl=9 i lp=820</v>
      </c>
      <c r="O92" s="27" t="str">
        <f t="shared" si="26"/>
        <v>rokwzgl=10 i lp=820</v>
      </c>
      <c r="P92" s="27" t="str">
        <f t="shared" si="26"/>
        <v>rokwzgl=11 i lp=820</v>
      </c>
      <c r="Q92" s="27" t="str">
        <f t="shared" si="26"/>
        <v>rokwzgl=12 i lp=820</v>
      </c>
      <c r="R92" s="27" t="str">
        <f t="shared" si="26"/>
        <v>rokwzgl=13 i lp=820</v>
      </c>
      <c r="S92" s="27" t="str">
        <f t="shared" si="26"/>
        <v>rokwzgl=14 i lp=820</v>
      </c>
      <c r="T92" s="27" t="str">
        <f t="shared" si="26"/>
        <v>rokwzgl=15 i lp=820</v>
      </c>
      <c r="U92" s="27" t="str">
        <f t="shared" si="26"/>
        <v>rokwzgl=16 i lp=820</v>
      </c>
      <c r="V92" s="27" t="str">
        <f t="shared" si="26"/>
        <v>rokwzgl=17 i lp=820</v>
      </c>
      <c r="W92" s="27" t="str">
        <f t="shared" si="26"/>
        <v>rokwzgl=18 i lp=820</v>
      </c>
      <c r="X92" s="27" t="str">
        <f t="shared" si="27"/>
        <v>rokwzgl=19 i lp=820</v>
      </c>
      <c r="Y92" s="27" t="str">
        <f t="shared" si="27"/>
        <v>rokwzgl=20 i lp=820</v>
      </c>
      <c r="Z92" s="27" t="str">
        <f t="shared" si="27"/>
        <v>rokwzgl=21 i lp=820</v>
      </c>
      <c r="AA92" s="27" t="str">
        <f t="shared" si="27"/>
        <v>rokwzgl=22 i lp=820</v>
      </c>
      <c r="AB92" s="27" t="str">
        <f t="shared" si="27"/>
        <v>rokwzgl=23 i lp=820</v>
      </c>
      <c r="AC92" s="27" t="str">
        <f t="shared" si="27"/>
        <v>rokwzgl=24 i lp=820</v>
      </c>
      <c r="AD92" s="27" t="str">
        <f t="shared" si="27"/>
        <v>rokwzgl=25 i lp=820</v>
      </c>
      <c r="AE92" s="27" t="str">
        <f t="shared" si="27"/>
        <v>rokwzgl=26 i lp=820</v>
      </c>
      <c r="AF92" s="27" t="str">
        <f t="shared" si="27"/>
        <v>rokwzgl=27 i lp=820</v>
      </c>
      <c r="AG92" s="27" t="str">
        <f t="shared" si="27"/>
        <v>rokwzgl=28 i lp=820</v>
      </c>
      <c r="AH92" s="27" t="str">
        <f t="shared" si="27"/>
        <v>rokwzgl=29 i lp=820</v>
      </c>
    </row>
    <row r="93" spans="1:34">
      <c r="A93" s="26">
        <v>830</v>
      </c>
      <c r="B93" s="26">
        <v>13.4</v>
      </c>
      <c r="C93" s="27" t="s">
        <v>159</v>
      </c>
      <c r="D93" s="27" t="str">
        <f t="shared" si="25"/>
        <v>rokwzgl=0 i lp=830</v>
      </c>
      <c r="E93" s="27" t="str">
        <f t="shared" si="25"/>
        <v>rokwzgl=0 i lp=830</v>
      </c>
      <c r="F93" s="27" t="str">
        <f t="shared" si="25"/>
        <v>rokwzgl=1 i lp=830</v>
      </c>
      <c r="G93" s="27" t="str">
        <f t="shared" si="25"/>
        <v>rokwzgl=2 i lp=830</v>
      </c>
      <c r="H93" s="27" t="str">
        <f t="shared" si="25"/>
        <v>rokwzgl=3 i lp=830</v>
      </c>
      <c r="I93" s="27" t="str">
        <f t="shared" si="25"/>
        <v>rokwzgl=4 i lp=830</v>
      </c>
      <c r="J93" s="27" t="str">
        <f t="shared" si="25"/>
        <v>rokwzgl=5 i lp=830</v>
      </c>
      <c r="K93" s="27" t="str">
        <f t="shared" si="25"/>
        <v>rokwzgl=6 i lp=830</v>
      </c>
      <c r="L93" s="27" t="str">
        <f t="shared" si="25"/>
        <v>rokwzgl=7 i lp=830</v>
      </c>
      <c r="M93" s="27" t="str">
        <f t="shared" si="25"/>
        <v>rokwzgl=8 i lp=830</v>
      </c>
      <c r="N93" s="27" t="str">
        <f t="shared" si="26"/>
        <v>rokwzgl=9 i lp=830</v>
      </c>
      <c r="O93" s="27" t="str">
        <f t="shared" si="26"/>
        <v>rokwzgl=10 i lp=830</v>
      </c>
      <c r="P93" s="27" t="str">
        <f t="shared" si="26"/>
        <v>rokwzgl=11 i lp=830</v>
      </c>
      <c r="Q93" s="27" t="str">
        <f t="shared" si="26"/>
        <v>rokwzgl=12 i lp=830</v>
      </c>
      <c r="R93" s="27" t="str">
        <f t="shared" si="26"/>
        <v>rokwzgl=13 i lp=830</v>
      </c>
      <c r="S93" s="27" t="str">
        <f t="shared" si="26"/>
        <v>rokwzgl=14 i lp=830</v>
      </c>
      <c r="T93" s="27" t="str">
        <f t="shared" si="26"/>
        <v>rokwzgl=15 i lp=830</v>
      </c>
      <c r="U93" s="27" t="str">
        <f t="shared" si="26"/>
        <v>rokwzgl=16 i lp=830</v>
      </c>
      <c r="V93" s="27" t="str">
        <f t="shared" si="26"/>
        <v>rokwzgl=17 i lp=830</v>
      </c>
      <c r="W93" s="27" t="str">
        <f t="shared" si="26"/>
        <v>rokwzgl=18 i lp=830</v>
      </c>
      <c r="X93" s="27" t="str">
        <f t="shared" si="27"/>
        <v>rokwzgl=19 i lp=830</v>
      </c>
      <c r="Y93" s="27" t="str">
        <f t="shared" si="27"/>
        <v>rokwzgl=20 i lp=830</v>
      </c>
      <c r="Z93" s="27" t="str">
        <f t="shared" si="27"/>
        <v>rokwzgl=21 i lp=830</v>
      </c>
      <c r="AA93" s="27" t="str">
        <f t="shared" si="27"/>
        <v>rokwzgl=22 i lp=830</v>
      </c>
      <c r="AB93" s="27" t="str">
        <f t="shared" si="27"/>
        <v>rokwzgl=23 i lp=830</v>
      </c>
      <c r="AC93" s="27" t="str">
        <f t="shared" si="27"/>
        <v>rokwzgl=24 i lp=830</v>
      </c>
      <c r="AD93" s="27" t="str">
        <f t="shared" si="27"/>
        <v>rokwzgl=25 i lp=830</v>
      </c>
      <c r="AE93" s="27" t="str">
        <f t="shared" si="27"/>
        <v>rokwzgl=26 i lp=830</v>
      </c>
      <c r="AF93" s="27" t="str">
        <f t="shared" si="27"/>
        <v>rokwzgl=27 i lp=830</v>
      </c>
      <c r="AG93" s="27" t="str">
        <f t="shared" si="27"/>
        <v>rokwzgl=28 i lp=830</v>
      </c>
      <c r="AH93" s="27" t="str">
        <f t="shared" si="27"/>
        <v>rokwzgl=29 i lp=830</v>
      </c>
    </row>
    <row r="94" spans="1:34">
      <c r="A94" s="26">
        <v>840</v>
      </c>
      <c r="B94" s="26">
        <v>13.5</v>
      </c>
      <c r="C94" s="27" t="s">
        <v>160</v>
      </c>
      <c r="D94" s="27" t="str">
        <f t="shared" si="25"/>
        <v>rokwzgl=0 i lp=840</v>
      </c>
      <c r="E94" s="27" t="str">
        <f t="shared" si="25"/>
        <v>rokwzgl=0 i lp=840</v>
      </c>
      <c r="F94" s="27" t="str">
        <f t="shared" si="25"/>
        <v>rokwzgl=1 i lp=840</v>
      </c>
      <c r="G94" s="27" t="str">
        <f t="shared" si="25"/>
        <v>rokwzgl=2 i lp=840</v>
      </c>
      <c r="H94" s="27" t="str">
        <f t="shared" si="25"/>
        <v>rokwzgl=3 i lp=840</v>
      </c>
      <c r="I94" s="27" t="str">
        <f t="shared" si="25"/>
        <v>rokwzgl=4 i lp=840</v>
      </c>
      <c r="J94" s="27" t="str">
        <f t="shared" si="25"/>
        <v>rokwzgl=5 i lp=840</v>
      </c>
      <c r="K94" s="27" t="str">
        <f t="shared" si="25"/>
        <v>rokwzgl=6 i lp=840</v>
      </c>
      <c r="L94" s="27" t="str">
        <f t="shared" si="25"/>
        <v>rokwzgl=7 i lp=840</v>
      </c>
      <c r="M94" s="27" t="str">
        <f t="shared" si="25"/>
        <v>rokwzgl=8 i lp=840</v>
      </c>
      <c r="N94" s="27" t="str">
        <f t="shared" si="26"/>
        <v>rokwzgl=9 i lp=840</v>
      </c>
      <c r="O94" s="27" t="str">
        <f t="shared" si="26"/>
        <v>rokwzgl=10 i lp=840</v>
      </c>
      <c r="P94" s="27" t="str">
        <f t="shared" si="26"/>
        <v>rokwzgl=11 i lp=840</v>
      </c>
      <c r="Q94" s="27" t="str">
        <f t="shared" si="26"/>
        <v>rokwzgl=12 i lp=840</v>
      </c>
      <c r="R94" s="27" t="str">
        <f t="shared" si="26"/>
        <v>rokwzgl=13 i lp=840</v>
      </c>
      <c r="S94" s="27" t="str">
        <f t="shared" si="26"/>
        <v>rokwzgl=14 i lp=840</v>
      </c>
      <c r="T94" s="27" t="str">
        <f t="shared" si="26"/>
        <v>rokwzgl=15 i lp=840</v>
      </c>
      <c r="U94" s="27" t="str">
        <f t="shared" si="26"/>
        <v>rokwzgl=16 i lp=840</v>
      </c>
      <c r="V94" s="27" t="str">
        <f t="shared" si="26"/>
        <v>rokwzgl=17 i lp=840</v>
      </c>
      <c r="W94" s="27" t="str">
        <f t="shared" si="26"/>
        <v>rokwzgl=18 i lp=840</v>
      </c>
      <c r="X94" s="27" t="str">
        <f t="shared" si="27"/>
        <v>rokwzgl=19 i lp=840</v>
      </c>
      <c r="Y94" s="27" t="str">
        <f t="shared" si="27"/>
        <v>rokwzgl=20 i lp=840</v>
      </c>
      <c r="Z94" s="27" t="str">
        <f t="shared" si="27"/>
        <v>rokwzgl=21 i lp=840</v>
      </c>
      <c r="AA94" s="27" t="str">
        <f t="shared" si="27"/>
        <v>rokwzgl=22 i lp=840</v>
      </c>
      <c r="AB94" s="27" t="str">
        <f t="shared" si="27"/>
        <v>rokwzgl=23 i lp=840</v>
      </c>
      <c r="AC94" s="27" t="str">
        <f t="shared" si="27"/>
        <v>rokwzgl=24 i lp=840</v>
      </c>
      <c r="AD94" s="27" t="str">
        <f t="shared" si="27"/>
        <v>rokwzgl=25 i lp=840</v>
      </c>
      <c r="AE94" s="27" t="str">
        <f t="shared" si="27"/>
        <v>rokwzgl=26 i lp=840</v>
      </c>
      <c r="AF94" s="27" t="str">
        <f t="shared" si="27"/>
        <v>rokwzgl=27 i lp=840</v>
      </c>
      <c r="AG94" s="27" t="str">
        <f t="shared" si="27"/>
        <v>rokwzgl=28 i lp=840</v>
      </c>
      <c r="AH94" s="27" t="str">
        <f t="shared" si="27"/>
        <v>rokwzgl=29 i lp=840</v>
      </c>
    </row>
    <row r="95" spans="1:34">
      <c r="A95" s="26">
        <v>850</v>
      </c>
      <c r="B95" s="26">
        <v>13.6</v>
      </c>
      <c r="C95" s="27" t="s">
        <v>161</v>
      </c>
      <c r="D95" s="27" t="str">
        <f t="shared" si="25"/>
        <v>rokwzgl=0 i lp=850</v>
      </c>
      <c r="E95" s="27" t="str">
        <f t="shared" si="25"/>
        <v>rokwzgl=0 i lp=850</v>
      </c>
      <c r="F95" s="27" t="str">
        <f t="shared" si="25"/>
        <v>rokwzgl=1 i lp=850</v>
      </c>
      <c r="G95" s="27" t="str">
        <f t="shared" si="25"/>
        <v>rokwzgl=2 i lp=850</v>
      </c>
      <c r="H95" s="27" t="str">
        <f t="shared" si="25"/>
        <v>rokwzgl=3 i lp=850</v>
      </c>
      <c r="I95" s="27" t="str">
        <f t="shared" si="25"/>
        <v>rokwzgl=4 i lp=850</v>
      </c>
      <c r="J95" s="27" t="str">
        <f t="shared" si="25"/>
        <v>rokwzgl=5 i lp=850</v>
      </c>
      <c r="K95" s="27" t="str">
        <f t="shared" si="25"/>
        <v>rokwzgl=6 i lp=850</v>
      </c>
      <c r="L95" s="27" t="str">
        <f t="shared" si="25"/>
        <v>rokwzgl=7 i lp=850</v>
      </c>
      <c r="M95" s="27" t="str">
        <f t="shared" si="25"/>
        <v>rokwzgl=8 i lp=850</v>
      </c>
      <c r="N95" s="27" t="str">
        <f t="shared" si="26"/>
        <v>rokwzgl=9 i lp=850</v>
      </c>
      <c r="O95" s="27" t="str">
        <f t="shared" si="26"/>
        <v>rokwzgl=10 i lp=850</v>
      </c>
      <c r="P95" s="27" t="str">
        <f t="shared" si="26"/>
        <v>rokwzgl=11 i lp=850</v>
      </c>
      <c r="Q95" s="27" t="str">
        <f t="shared" si="26"/>
        <v>rokwzgl=12 i lp=850</v>
      </c>
      <c r="R95" s="27" t="str">
        <f t="shared" si="26"/>
        <v>rokwzgl=13 i lp=850</v>
      </c>
      <c r="S95" s="27" t="str">
        <f t="shared" si="26"/>
        <v>rokwzgl=14 i lp=850</v>
      </c>
      <c r="T95" s="27" t="str">
        <f t="shared" si="26"/>
        <v>rokwzgl=15 i lp=850</v>
      </c>
      <c r="U95" s="27" t="str">
        <f t="shared" si="26"/>
        <v>rokwzgl=16 i lp=850</v>
      </c>
      <c r="V95" s="27" t="str">
        <f t="shared" si="26"/>
        <v>rokwzgl=17 i lp=850</v>
      </c>
      <c r="W95" s="27" t="str">
        <f t="shared" si="26"/>
        <v>rokwzgl=18 i lp=850</v>
      </c>
      <c r="X95" s="27" t="str">
        <f t="shared" si="27"/>
        <v>rokwzgl=19 i lp=850</v>
      </c>
      <c r="Y95" s="27" t="str">
        <f t="shared" si="27"/>
        <v>rokwzgl=20 i lp=850</v>
      </c>
      <c r="Z95" s="27" t="str">
        <f t="shared" si="27"/>
        <v>rokwzgl=21 i lp=850</v>
      </c>
      <c r="AA95" s="27" t="str">
        <f t="shared" si="27"/>
        <v>rokwzgl=22 i lp=850</v>
      </c>
      <c r="AB95" s="27" t="str">
        <f t="shared" si="27"/>
        <v>rokwzgl=23 i lp=850</v>
      </c>
      <c r="AC95" s="27" t="str">
        <f t="shared" si="27"/>
        <v>rokwzgl=24 i lp=850</v>
      </c>
      <c r="AD95" s="27" t="str">
        <f t="shared" si="27"/>
        <v>rokwzgl=25 i lp=850</v>
      </c>
      <c r="AE95" s="27" t="str">
        <f t="shared" si="27"/>
        <v>rokwzgl=26 i lp=850</v>
      </c>
      <c r="AF95" s="27" t="str">
        <f t="shared" si="27"/>
        <v>rokwzgl=27 i lp=850</v>
      </c>
      <c r="AG95" s="27" t="str">
        <f t="shared" si="27"/>
        <v>rokwzgl=28 i lp=850</v>
      </c>
      <c r="AH95" s="27" t="str">
        <f t="shared" si="27"/>
        <v>rokwzgl=29 i lp=850</v>
      </c>
    </row>
    <row r="96" spans="1:34">
      <c r="A96" s="26">
        <v>860</v>
      </c>
      <c r="B96" s="26">
        <v>13.7</v>
      </c>
      <c r="C96" s="27" t="s">
        <v>162</v>
      </c>
      <c r="D96" s="27" t="str">
        <f t="shared" si="25"/>
        <v>rokwzgl=0 i lp=860</v>
      </c>
      <c r="E96" s="27" t="str">
        <f t="shared" si="25"/>
        <v>rokwzgl=0 i lp=860</v>
      </c>
      <c r="F96" s="27" t="str">
        <f t="shared" si="25"/>
        <v>rokwzgl=1 i lp=860</v>
      </c>
      <c r="G96" s="27" t="str">
        <f t="shared" si="25"/>
        <v>rokwzgl=2 i lp=860</v>
      </c>
      <c r="H96" s="27" t="str">
        <f t="shared" si="25"/>
        <v>rokwzgl=3 i lp=860</v>
      </c>
      <c r="I96" s="27" t="str">
        <f t="shared" si="25"/>
        <v>rokwzgl=4 i lp=860</v>
      </c>
      <c r="J96" s="27" t="str">
        <f t="shared" si="25"/>
        <v>rokwzgl=5 i lp=860</v>
      </c>
      <c r="K96" s="27" t="str">
        <f t="shared" si="25"/>
        <v>rokwzgl=6 i lp=860</v>
      </c>
      <c r="L96" s="27" t="str">
        <f t="shared" si="25"/>
        <v>rokwzgl=7 i lp=860</v>
      </c>
      <c r="M96" s="27" t="str">
        <f t="shared" si="25"/>
        <v>rokwzgl=8 i lp=860</v>
      </c>
      <c r="N96" s="27" t="str">
        <f t="shared" si="26"/>
        <v>rokwzgl=9 i lp=860</v>
      </c>
      <c r="O96" s="27" t="str">
        <f t="shared" si="26"/>
        <v>rokwzgl=10 i lp=860</v>
      </c>
      <c r="P96" s="27" t="str">
        <f t="shared" si="26"/>
        <v>rokwzgl=11 i lp=860</v>
      </c>
      <c r="Q96" s="27" t="str">
        <f t="shared" si="26"/>
        <v>rokwzgl=12 i lp=860</v>
      </c>
      <c r="R96" s="27" t="str">
        <f t="shared" si="26"/>
        <v>rokwzgl=13 i lp=860</v>
      </c>
      <c r="S96" s="27" t="str">
        <f t="shared" si="26"/>
        <v>rokwzgl=14 i lp=860</v>
      </c>
      <c r="T96" s="27" t="str">
        <f t="shared" si="26"/>
        <v>rokwzgl=15 i lp=860</v>
      </c>
      <c r="U96" s="27" t="str">
        <f t="shared" si="26"/>
        <v>rokwzgl=16 i lp=860</v>
      </c>
      <c r="V96" s="27" t="str">
        <f t="shared" si="26"/>
        <v>rokwzgl=17 i lp=860</v>
      </c>
      <c r="W96" s="27" t="str">
        <f t="shared" si="26"/>
        <v>rokwzgl=18 i lp=860</v>
      </c>
      <c r="X96" s="27" t="str">
        <f t="shared" si="27"/>
        <v>rokwzgl=19 i lp=860</v>
      </c>
      <c r="Y96" s="27" t="str">
        <f t="shared" si="27"/>
        <v>rokwzgl=20 i lp=860</v>
      </c>
      <c r="Z96" s="27" t="str">
        <f t="shared" si="27"/>
        <v>rokwzgl=21 i lp=860</v>
      </c>
      <c r="AA96" s="27" t="str">
        <f t="shared" si="27"/>
        <v>rokwzgl=22 i lp=860</v>
      </c>
      <c r="AB96" s="27" t="str">
        <f t="shared" si="27"/>
        <v>rokwzgl=23 i lp=860</v>
      </c>
      <c r="AC96" s="27" t="str">
        <f t="shared" si="27"/>
        <v>rokwzgl=24 i lp=860</v>
      </c>
      <c r="AD96" s="27" t="str">
        <f t="shared" si="27"/>
        <v>rokwzgl=25 i lp=860</v>
      </c>
      <c r="AE96" s="27" t="str">
        <f t="shared" si="27"/>
        <v>rokwzgl=26 i lp=860</v>
      </c>
      <c r="AF96" s="27" t="str">
        <f t="shared" si="27"/>
        <v>rokwzgl=27 i lp=860</v>
      </c>
      <c r="AG96" s="27" t="str">
        <f t="shared" si="27"/>
        <v>rokwzgl=28 i lp=860</v>
      </c>
      <c r="AH96" s="27" t="str">
        <f t="shared" si="27"/>
        <v>rokwzgl=29 i lp=860</v>
      </c>
    </row>
    <row r="97" spans="1:34">
      <c r="A97" s="26">
        <v>870</v>
      </c>
      <c r="B97" s="26">
        <v>14</v>
      </c>
      <c r="C97" s="27" t="s">
        <v>163</v>
      </c>
      <c r="D97" s="27" t="str">
        <f t="shared" si="25"/>
        <v>rokwzgl=0 i lp=870</v>
      </c>
      <c r="E97" s="27" t="str">
        <f t="shared" si="25"/>
        <v>rokwzgl=0 i lp=870</v>
      </c>
      <c r="F97" s="27" t="str">
        <f t="shared" si="25"/>
        <v>rokwzgl=1 i lp=870</v>
      </c>
      <c r="G97" s="27" t="str">
        <f t="shared" si="25"/>
        <v>rokwzgl=2 i lp=870</v>
      </c>
      <c r="H97" s="27" t="str">
        <f t="shared" si="25"/>
        <v>rokwzgl=3 i lp=870</v>
      </c>
      <c r="I97" s="27" t="str">
        <f t="shared" si="25"/>
        <v>rokwzgl=4 i lp=870</v>
      </c>
      <c r="J97" s="27" t="str">
        <f t="shared" si="25"/>
        <v>rokwzgl=5 i lp=870</v>
      </c>
      <c r="K97" s="27" t="str">
        <f t="shared" si="25"/>
        <v>rokwzgl=6 i lp=870</v>
      </c>
      <c r="L97" s="27" t="str">
        <f t="shared" si="25"/>
        <v>rokwzgl=7 i lp=870</v>
      </c>
      <c r="M97" s="27" t="str">
        <f t="shared" si="25"/>
        <v>rokwzgl=8 i lp=870</v>
      </c>
      <c r="N97" s="27" t="str">
        <f t="shared" si="26"/>
        <v>rokwzgl=9 i lp=870</v>
      </c>
      <c r="O97" s="27" t="str">
        <f t="shared" si="26"/>
        <v>rokwzgl=10 i lp=870</v>
      </c>
      <c r="P97" s="27" t="str">
        <f t="shared" si="26"/>
        <v>rokwzgl=11 i lp=870</v>
      </c>
      <c r="Q97" s="27" t="str">
        <f t="shared" si="26"/>
        <v>rokwzgl=12 i lp=870</v>
      </c>
      <c r="R97" s="27" t="str">
        <f t="shared" si="26"/>
        <v>rokwzgl=13 i lp=870</v>
      </c>
      <c r="S97" s="27" t="str">
        <f t="shared" si="26"/>
        <v>rokwzgl=14 i lp=870</v>
      </c>
      <c r="T97" s="27" t="str">
        <f t="shared" si="26"/>
        <v>rokwzgl=15 i lp=870</v>
      </c>
      <c r="U97" s="27" t="str">
        <f t="shared" si="26"/>
        <v>rokwzgl=16 i lp=870</v>
      </c>
      <c r="V97" s="27" t="str">
        <f t="shared" si="26"/>
        <v>rokwzgl=17 i lp=870</v>
      </c>
      <c r="W97" s="27" t="str">
        <f t="shared" si="26"/>
        <v>rokwzgl=18 i lp=870</v>
      </c>
      <c r="X97" s="27" t="str">
        <f t="shared" si="27"/>
        <v>rokwzgl=19 i lp=870</v>
      </c>
      <c r="Y97" s="27" t="str">
        <f t="shared" si="27"/>
        <v>rokwzgl=20 i lp=870</v>
      </c>
      <c r="Z97" s="27" t="str">
        <f t="shared" si="27"/>
        <v>rokwzgl=21 i lp=870</v>
      </c>
      <c r="AA97" s="27" t="str">
        <f t="shared" si="27"/>
        <v>rokwzgl=22 i lp=870</v>
      </c>
      <c r="AB97" s="27" t="str">
        <f t="shared" si="27"/>
        <v>rokwzgl=23 i lp=870</v>
      </c>
      <c r="AC97" s="27" t="str">
        <f t="shared" si="27"/>
        <v>rokwzgl=24 i lp=870</v>
      </c>
      <c r="AD97" s="27" t="str">
        <f t="shared" si="27"/>
        <v>rokwzgl=25 i lp=870</v>
      </c>
      <c r="AE97" s="27" t="str">
        <f t="shared" si="27"/>
        <v>rokwzgl=26 i lp=870</v>
      </c>
      <c r="AF97" s="27" t="str">
        <f t="shared" si="27"/>
        <v>rokwzgl=27 i lp=870</v>
      </c>
      <c r="AG97" s="27" t="str">
        <f t="shared" si="27"/>
        <v>rokwzgl=28 i lp=870</v>
      </c>
      <c r="AH97" s="27" t="str">
        <f t="shared" si="27"/>
        <v>rokwzgl=29 i lp=870</v>
      </c>
    </row>
    <row r="98" spans="1:34">
      <c r="A98" s="26">
        <v>880</v>
      </c>
      <c r="B98" s="26">
        <v>14.1</v>
      </c>
      <c r="C98" s="27" t="s">
        <v>164</v>
      </c>
      <c r="D98" s="27" t="str">
        <f t="shared" si="25"/>
        <v>rokwzgl=0 i lp=880</v>
      </c>
      <c r="E98" s="27" t="str">
        <f t="shared" si="25"/>
        <v>rokwzgl=0 i lp=880</v>
      </c>
      <c r="F98" s="27" t="str">
        <f t="shared" si="25"/>
        <v>rokwzgl=1 i lp=880</v>
      </c>
      <c r="G98" s="27" t="str">
        <f t="shared" si="25"/>
        <v>rokwzgl=2 i lp=880</v>
      </c>
      <c r="H98" s="27" t="str">
        <f t="shared" si="25"/>
        <v>rokwzgl=3 i lp=880</v>
      </c>
      <c r="I98" s="27" t="str">
        <f t="shared" si="25"/>
        <v>rokwzgl=4 i lp=880</v>
      </c>
      <c r="J98" s="27" t="str">
        <f t="shared" si="25"/>
        <v>rokwzgl=5 i lp=880</v>
      </c>
      <c r="K98" s="27" t="str">
        <f t="shared" si="25"/>
        <v>rokwzgl=6 i lp=880</v>
      </c>
      <c r="L98" s="27" t="str">
        <f t="shared" si="25"/>
        <v>rokwzgl=7 i lp=880</v>
      </c>
      <c r="M98" s="27" t="str">
        <f t="shared" si="25"/>
        <v>rokwzgl=8 i lp=880</v>
      </c>
      <c r="N98" s="27" t="str">
        <f t="shared" si="26"/>
        <v>rokwzgl=9 i lp=880</v>
      </c>
      <c r="O98" s="27" t="str">
        <f t="shared" si="26"/>
        <v>rokwzgl=10 i lp=880</v>
      </c>
      <c r="P98" s="27" t="str">
        <f t="shared" si="26"/>
        <v>rokwzgl=11 i lp=880</v>
      </c>
      <c r="Q98" s="27" t="str">
        <f t="shared" si="26"/>
        <v>rokwzgl=12 i lp=880</v>
      </c>
      <c r="R98" s="27" t="str">
        <f t="shared" si="26"/>
        <v>rokwzgl=13 i lp=880</v>
      </c>
      <c r="S98" s="27" t="str">
        <f t="shared" si="26"/>
        <v>rokwzgl=14 i lp=880</v>
      </c>
      <c r="T98" s="27" t="str">
        <f t="shared" si="26"/>
        <v>rokwzgl=15 i lp=880</v>
      </c>
      <c r="U98" s="27" t="str">
        <f t="shared" si="26"/>
        <v>rokwzgl=16 i lp=880</v>
      </c>
      <c r="V98" s="27" t="str">
        <f t="shared" si="26"/>
        <v>rokwzgl=17 i lp=880</v>
      </c>
      <c r="W98" s="27" t="str">
        <f t="shared" si="26"/>
        <v>rokwzgl=18 i lp=880</v>
      </c>
      <c r="X98" s="27" t="str">
        <f t="shared" si="27"/>
        <v>rokwzgl=19 i lp=880</v>
      </c>
      <c r="Y98" s="27" t="str">
        <f t="shared" si="27"/>
        <v>rokwzgl=20 i lp=880</v>
      </c>
      <c r="Z98" s="27" t="str">
        <f t="shared" si="27"/>
        <v>rokwzgl=21 i lp=880</v>
      </c>
      <c r="AA98" s="27" t="str">
        <f t="shared" si="27"/>
        <v>rokwzgl=22 i lp=880</v>
      </c>
      <c r="AB98" s="27" t="str">
        <f t="shared" si="27"/>
        <v>rokwzgl=23 i lp=880</v>
      </c>
      <c r="AC98" s="27" t="str">
        <f t="shared" si="27"/>
        <v>rokwzgl=24 i lp=880</v>
      </c>
      <c r="AD98" s="27" t="str">
        <f t="shared" si="27"/>
        <v>rokwzgl=25 i lp=880</v>
      </c>
      <c r="AE98" s="27" t="str">
        <f t="shared" si="27"/>
        <v>rokwzgl=26 i lp=880</v>
      </c>
      <c r="AF98" s="27" t="str">
        <f t="shared" si="27"/>
        <v>rokwzgl=27 i lp=880</v>
      </c>
      <c r="AG98" s="27" t="str">
        <f t="shared" si="27"/>
        <v>rokwzgl=28 i lp=880</v>
      </c>
      <c r="AH98" s="27" t="str">
        <f t="shared" si="27"/>
        <v>rokwzgl=29 i lp=880</v>
      </c>
    </row>
    <row r="99" spans="1:34">
      <c r="A99" s="26">
        <v>890</v>
      </c>
      <c r="B99" s="26">
        <v>14.2</v>
      </c>
      <c r="C99" s="27" t="s">
        <v>165</v>
      </c>
      <c r="D99" s="27" t="str">
        <f t="shared" si="25"/>
        <v>rokwzgl=0 i lp=890</v>
      </c>
      <c r="E99" s="27" t="str">
        <f t="shared" si="25"/>
        <v>rokwzgl=0 i lp=890</v>
      </c>
      <c r="F99" s="27" t="str">
        <f t="shared" si="25"/>
        <v>rokwzgl=1 i lp=890</v>
      </c>
      <c r="G99" s="27" t="str">
        <f t="shared" si="25"/>
        <v>rokwzgl=2 i lp=890</v>
      </c>
      <c r="H99" s="27" t="str">
        <f t="shared" si="25"/>
        <v>rokwzgl=3 i lp=890</v>
      </c>
      <c r="I99" s="27" t="str">
        <f t="shared" si="25"/>
        <v>rokwzgl=4 i lp=890</v>
      </c>
      <c r="J99" s="27" t="str">
        <f t="shared" si="25"/>
        <v>rokwzgl=5 i lp=890</v>
      </c>
      <c r="K99" s="27" t="str">
        <f t="shared" si="25"/>
        <v>rokwzgl=6 i lp=890</v>
      </c>
      <c r="L99" s="27" t="str">
        <f t="shared" si="25"/>
        <v>rokwzgl=7 i lp=890</v>
      </c>
      <c r="M99" s="27" t="str">
        <f t="shared" si="25"/>
        <v>rokwzgl=8 i lp=890</v>
      </c>
      <c r="N99" s="27" t="str">
        <f t="shared" si="26"/>
        <v>rokwzgl=9 i lp=890</v>
      </c>
      <c r="O99" s="27" t="str">
        <f t="shared" si="26"/>
        <v>rokwzgl=10 i lp=890</v>
      </c>
      <c r="P99" s="27" t="str">
        <f t="shared" si="26"/>
        <v>rokwzgl=11 i lp=890</v>
      </c>
      <c r="Q99" s="27" t="str">
        <f t="shared" si="26"/>
        <v>rokwzgl=12 i lp=890</v>
      </c>
      <c r="R99" s="27" t="str">
        <f t="shared" si="26"/>
        <v>rokwzgl=13 i lp=890</v>
      </c>
      <c r="S99" s="27" t="str">
        <f t="shared" si="26"/>
        <v>rokwzgl=14 i lp=890</v>
      </c>
      <c r="T99" s="27" t="str">
        <f t="shared" si="26"/>
        <v>rokwzgl=15 i lp=890</v>
      </c>
      <c r="U99" s="27" t="str">
        <f t="shared" si="26"/>
        <v>rokwzgl=16 i lp=890</v>
      </c>
      <c r="V99" s="27" t="str">
        <f t="shared" si="26"/>
        <v>rokwzgl=17 i lp=890</v>
      </c>
      <c r="W99" s="27" t="str">
        <f t="shared" si="26"/>
        <v>rokwzgl=18 i lp=890</v>
      </c>
      <c r="X99" s="27" t="str">
        <f t="shared" si="27"/>
        <v>rokwzgl=19 i lp=890</v>
      </c>
      <c r="Y99" s="27" t="str">
        <f t="shared" si="27"/>
        <v>rokwzgl=20 i lp=890</v>
      </c>
      <c r="Z99" s="27" t="str">
        <f t="shared" si="27"/>
        <v>rokwzgl=21 i lp=890</v>
      </c>
      <c r="AA99" s="27" t="str">
        <f t="shared" si="27"/>
        <v>rokwzgl=22 i lp=890</v>
      </c>
      <c r="AB99" s="27" t="str">
        <f t="shared" si="27"/>
        <v>rokwzgl=23 i lp=890</v>
      </c>
      <c r="AC99" s="27" t="str">
        <f t="shared" si="27"/>
        <v>rokwzgl=24 i lp=890</v>
      </c>
      <c r="AD99" s="27" t="str">
        <f t="shared" si="27"/>
        <v>rokwzgl=25 i lp=890</v>
      </c>
      <c r="AE99" s="27" t="str">
        <f t="shared" si="27"/>
        <v>rokwzgl=26 i lp=890</v>
      </c>
      <c r="AF99" s="27" t="str">
        <f t="shared" si="27"/>
        <v>rokwzgl=27 i lp=890</v>
      </c>
      <c r="AG99" s="27" t="str">
        <f t="shared" si="27"/>
        <v>rokwzgl=28 i lp=890</v>
      </c>
      <c r="AH99" s="27" t="str">
        <f t="shared" si="27"/>
        <v>rokwzgl=29 i lp=890</v>
      </c>
    </row>
    <row r="100" spans="1:34">
      <c r="A100" s="26">
        <v>900</v>
      </c>
      <c r="B100" s="26">
        <v>14.3</v>
      </c>
      <c r="C100" s="27" t="s">
        <v>166</v>
      </c>
      <c r="D100" s="27" t="str">
        <f t="shared" si="25"/>
        <v>rokwzgl=0 i lp=900</v>
      </c>
      <c r="E100" s="27" t="str">
        <f t="shared" si="25"/>
        <v>rokwzgl=0 i lp=900</v>
      </c>
      <c r="F100" s="27" t="str">
        <f t="shared" si="25"/>
        <v>rokwzgl=1 i lp=900</v>
      </c>
      <c r="G100" s="27" t="str">
        <f t="shared" si="25"/>
        <v>rokwzgl=2 i lp=900</v>
      </c>
      <c r="H100" s="27" t="str">
        <f t="shared" si="25"/>
        <v>rokwzgl=3 i lp=900</v>
      </c>
      <c r="I100" s="27" t="str">
        <f t="shared" si="25"/>
        <v>rokwzgl=4 i lp=900</v>
      </c>
      <c r="J100" s="27" t="str">
        <f t="shared" si="25"/>
        <v>rokwzgl=5 i lp=900</v>
      </c>
      <c r="K100" s="27" t="str">
        <f t="shared" si="25"/>
        <v>rokwzgl=6 i lp=900</v>
      </c>
      <c r="L100" s="27" t="str">
        <f t="shared" si="25"/>
        <v>rokwzgl=7 i lp=900</v>
      </c>
      <c r="M100" s="27" t="str">
        <f t="shared" si="25"/>
        <v>rokwzgl=8 i lp=900</v>
      </c>
      <c r="N100" s="27" t="str">
        <f t="shared" si="26"/>
        <v>rokwzgl=9 i lp=900</v>
      </c>
      <c r="O100" s="27" t="str">
        <f t="shared" si="26"/>
        <v>rokwzgl=10 i lp=900</v>
      </c>
      <c r="P100" s="27" t="str">
        <f t="shared" si="26"/>
        <v>rokwzgl=11 i lp=900</v>
      </c>
      <c r="Q100" s="27" t="str">
        <f t="shared" si="26"/>
        <v>rokwzgl=12 i lp=900</v>
      </c>
      <c r="R100" s="27" t="str">
        <f t="shared" si="26"/>
        <v>rokwzgl=13 i lp=900</v>
      </c>
      <c r="S100" s="27" t="str">
        <f t="shared" si="26"/>
        <v>rokwzgl=14 i lp=900</v>
      </c>
      <c r="T100" s="27" t="str">
        <f t="shared" si="26"/>
        <v>rokwzgl=15 i lp=900</v>
      </c>
      <c r="U100" s="27" t="str">
        <f t="shared" si="26"/>
        <v>rokwzgl=16 i lp=900</v>
      </c>
      <c r="V100" s="27" t="str">
        <f t="shared" si="26"/>
        <v>rokwzgl=17 i lp=900</v>
      </c>
      <c r="W100" s="27" t="str">
        <f t="shared" si="26"/>
        <v>rokwzgl=18 i lp=900</v>
      </c>
      <c r="X100" s="27" t="str">
        <f t="shared" si="27"/>
        <v>rokwzgl=19 i lp=900</v>
      </c>
      <c r="Y100" s="27" t="str">
        <f t="shared" si="27"/>
        <v>rokwzgl=20 i lp=900</v>
      </c>
      <c r="Z100" s="27" t="str">
        <f t="shared" si="27"/>
        <v>rokwzgl=21 i lp=900</v>
      </c>
      <c r="AA100" s="27" t="str">
        <f t="shared" si="27"/>
        <v>rokwzgl=22 i lp=900</v>
      </c>
      <c r="AB100" s="27" t="str">
        <f t="shared" si="27"/>
        <v>rokwzgl=23 i lp=900</v>
      </c>
      <c r="AC100" s="27" t="str">
        <f t="shared" si="27"/>
        <v>rokwzgl=24 i lp=900</v>
      </c>
      <c r="AD100" s="27" t="str">
        <f t="shared" si="27"/>
        <v>rokwzgl=25 i lp=900</v>
      </c>
      <c r="AE100" s="27" t="str">
        <f t="shared" si="27"/>
        <v>rokwzgl=26 i lp=900</v>
      </c>
      <c r="AF100" s="27" t="str">
        <f t="shared" si="27"/>
        <v>rokwzgl=27 i lp=900</v>
      </c>
      <c r="AG100" s="27" t="str">
        <f t="shared" si="27"/>
        <v>rokwzgl=28 i lp=900</v>
      </c>
      <c r="AH100" s="27" t="str">
        <f t="shared" si="27"/>
        <v>rokwzgl=29 i lp=900</v>
      </c>
    </row>
    <row r="101" spans="1:34">
      <c r="A101" s="26">
        <v>910</v>
      </c>
      <c r="B101" s="26" t="s">
        <v>167</v>
      </c>
      <c r="C101" s="27" t="s">
        <v>168</v>
      </c>
      <c r="D101" s="27" t="str">
        <f t="shared" si="25"/>
        <v>rokwzgl=0 i lp=910</v>
      </c>
      <c r="E101" s="27" t="str">
        <f t="shared" si="25"/>
        <v>rokwzgl=0 i lp=910</v>
      </c>
      <c r="F101" s="27" t="str">
        <f t="shared" si="25"/>
        <v>rokwzgl=1 i lp=910</v>
      </c>
      <c r="G101" s="27" t="str">
        <f t="shared" si="25"/>
        <v>rokwzgl=2 i lp=910</v>
      </c>
      <c r="H101" s="27" t="str">
        <f t="shared" si="25"/>
        <v>rokwzgl=3 i lp=910</v>
      </c>
      <c r="I101" s="27" t="str">
        <f t="shared" si="25"/>
        <v>rokwzgl=4 i lp=910</v>
      </c>
      <c r="J101" s="27" t="str">
        <f t="shared" si="25"/>
        <v>rokwzgl=5 i lp=910</v>
      </c>
      <c r="K101" s="27" t="str">
        <f t="shared" si="25"/>
        <v>rokwzgl=6 i lp=910</v>
      </c>
      <c r="L101" s="27" t="str">
        <f t="shared" si="25"/>
        <v>rokwzgl=7 i lp=910</v>
      </c>
      <c r="M101" s="27" t="str">
        <f t="shared" si="25"/>
        <v>rokwzgl=8 i lp=910</v>
      </c>
      <c r="N101" s="27" t="str">
        <f t="shared" si="26"/>
        <v>rokwzgl=9 i lp=910</v>
      </c>
      <c r="O101" s="27" t="str">
        <f t="shared" si="26"/>
        <v>rokwzgl=10 i lp=910</v>
      </c>
      <c r="P101" s="27" t="str">
        <f t="shared" si="26"/>
        <v>rokwzgl=11 i lp=910</v>
      </c>
      <c r="Q101" s="27" t="str">
        <f t="shared" si="26"/>
        <v>rokwzgl=12 i lp=910</v>
      </c>
      <c r="R101" s="27" t="str">
        <f t="shared" si="26"/>
        <v>rokwzgl=13 i lp=910</v>
      </c>
      <c r="S101" s="27" t="str">
        <f t="shared" si="26"/>
        <v>rokwzgl=14 i lp=910</v>
      </c>
      <c r="T101" s="27" t="str">
        <f t="shared" si="26"/>
        <v>rokwzgl=15 i lp=910</v>
      </c>
      <c r="U101" s="27" t="str">
        <f t="shared" si="26"/>
        <v>rokwzgl=16 i lp=910</v>
      </c>
      <c r="V101" s="27" t="str">
        <f t="shared" si="26"/>
        <v>rokwzgl=17 i lp=910</v>
      </c>
      <c r="W101" s="27" t="str">
        <f t="shared" si="26"/>
        <v>rokwzgl=18 i lp=910</v>
      </c>
      <c r="X101" s="27" t="str">
        <f t="shared" si="27"/>
        <v>rokwzgl=19 i lp=910</v>
      </c>
      <c r="Y101" s="27" t="str">
        <f t="shared" si="27"/>
        <v>rokwzgl=20 i lp=910</v>
      </c>
      <c r="Z101" s="27" t="str">
        <f t="shared" si="27"/>
        <v>rokwzgl=21 i lp=910</v>
      </c>
      <c r="AA101" s="27" t="str">
        <f t="shared" si="27"/>
        <v>rokwzgl=22 i lp=910</v>
      </c>
      <c r="AB101" s="27" t="str">
        <f t="shared" si="27"/>
        <v>rokwzgl=23 i lp=910</v>
      </c>
      <c r="AC101" s="27" t="str">
        <f t="shared" si="27"/>
        <v>rokwzgl=24 i lp=910</v>
      </c>
      <c r="AD101" s="27" t="str">
        <f t="shared" si="27"/>
        <v>rokwzgl=25 i lp=910</v>
      </c>
      <c r="AE101" s="27" t="str">
        <f t="shared" si="27"/>
        <v>rokwzgl=26 i lp=910</v>
      </c>
      <c r="AF101" s="27" t="str">
        <f t="shared" si="27"/>
        <v>rokwzgl=27 i lp=910</v>
      </c>
      <c r="AG101" s="27" t="str">
        <f t="shared" si="27"/>
        <v>rokwzgl=28 i lp=910</v>
      </c>
      <c r="AH101" s="27" t="str">
        <f t="shared" si="27"/>
        <v>rokwzgl=29 i lp=910</v>
      </c>
    </row>
    <row r="102" spans="1:34">
      <c r="A102" s="26">
        <v>920</v>
      </c>
      <c r="B102" s="26" t="s">
        <v>169</v>
      </c>
      <c r="C102" s="27" t="s">
        <v>170</v>
      </c>
      <c r="D102" s="27" t="str">
        <f t="shared" si="25"/>
        <v>rokwzgl=0 i lp=920</v>
      </c>
      <c r="E102" s="27" t="str">
        <f t="shared" si="25"/>
        <v>rokwzgl=0 i lp=920</v>
      </c>
      <c r="F102" s="27" t="str">
        <f t="shared" si="25"/>
        <v>rokwzgl=1 i lp=920</v>
      </c>
      <c r="G102" s="27" t="str">
        <f t="shared" si="25"/>
        <v>rokwzgl=2 i lp=920</v>
      </c>
      <c r="H102" s="27" t="str">
        <f t="shared" si="25"/>
        <v>rokwzgl=3 i lp=920</v>
      </c>
      <c r="I102" s="27" t="str">
        <f t="shared" si="25"/>
        <v>rokwzgl=4 i lp=920</v>
      </c>
      <c r="J102" s="27" t="str">
        <f t="shared" si="25"/>
        <v>rokwzgl=5 i lp=920</v>
      </c>
      <c r="K102" s="27" t="str">
        <f t="shared" si="25"/>
        <v>rokwzgl=6 i lp=920</v>
      </c>
      <c r="L102" s="27" t="str">
        <f t="shared" si="25"/>
        <v>rokwzgl=7 i lp=920</v>
      </c>
      <c r="M102" s="27" t="str">
        <f t="shared" si="25"/>
        <v>rokwzgl=8 i lp=920</v>
      </c>
      <c r="N102" s="27" t="str">
        <f t="shared" si="26"/>
        <v>rokwzgl=9 i lp=920</v>
      </c>
      <c r="O102" s="27" t="str">
        <f t="shared" si="26"/>
        <v>rokwzgl=10 i lp=920</v>
      </c>
      <c r="P102" s="27" t="str">
        <f t="shared" si="26"/>
        <v>rokwzgl=11 i lp=920</v>
      </c>
      <c r="Q102" s="27" t="str">
        <f t="shared" si="26"/>
        <v>rokwzgl=12 i lp=920</v>
      </c>
      <c r="R102" s="27" t="str">
        <f t="shared" si="26"/>
        <v>rokwzgl=13 i lp=920</v>
      </c>
      <c r="S102" s="27" t="str">
        <f t="shared" si="26"/>
        <v>rokwzgl=14 i lp=920</v>
      </c>
      <c r="T102" s="27" t="str">
        <f t="shared" si="26"/>
        <v>rokwzgl=15 i lp=920</v>
      </c>
      <c r="U102" s="27" t="str">
        <f t="shared" si="26"/>
        <v>rokwzgl=16 i lp=920</v>
      </c>
      <c r="V102" s="27" t="str">
        <f t="shared" si="26"/>
        <v>rokwzgl=17 i lp=920</v>
      </c>
      <c r="W102" s="27" t="str">
        <f t="shared" si="26"/>
        <v>rokwzgl=18 i lp=920</v>
      </c>
      <c r="X102" s="27" t="str">
        <f t="shared" si="27"/>
        <v>rokwzgl=19 i lp=920</v>
      </c>
      <c r="Y102" s="27" t="str">
        <f t="shared" si="27"/>
        <v>rokwzgl=20 i lp=920</v>
      </c>
      <c r="Z102" s="27" t="str">
        <f t="shared" si="27"/>
        <v>rokwzgl=21 i lp=920</v>
      </c>
      <c r="AA102" s="27" t="str">
        <f t="shared" si="27"/>
        <v>rokwzgl=22 i lp=920</v>
      </c>
      <c r="AB102" s="27" t="str">
        <f t="shared" si="27"/>
        <v>rokwzgl=23 i lp=920</v>
      </c>
      <c r="AC102" s="27" t="str">
        <f t="shared" si="27"/>
        <v>rokwzgl=24 i lp=920</v>
      </c>
      <c r="AD102" s="27" t="str">
        <f t="shared" si="27"/>
        <v>rokwzgl=25 i lp=920</v>
      </c>
      <c r="AE102" s="27" t="str">
        <f t="shared" si="27"/>
        <v>rokwzgl=26 i lp=920</v>
      </c>
      <c r="AF102" s="27" t="str">
        <f t="shared" si="27"/>
        <v>rokwzgl=27 i lp=920</v>
      </c>
      <c r="AG102" s="27" t="str">
        <f t="shared" si="27"/>
        <v>rokwzgl=28 i lp=920</v>
      </c>
      <c r="AH102" s="27" t="str">
        <f t="shared" si="27"/>
        <v>rokwzgl=29 i lp=920</v>
      </c>
    </row>
    <row r="103" spans="1:34">
      <c r="A103" s="26">
        <v>930</v>
      </c>
      <c r="B103" s="26" t="s">
        <v>171</v>
      </c>
      <c r="C103" s="27" t="s">
        <v>172</v>
      </c>
      <c r="D103" s="27" t="str">
        <f t="shared" si="25"/>
        <v>rokwzgl=0 i lp=930</v>
      </c>
      <c r="E103" s="27" t="str">
        <f t="shared" si="25"/>
        <v>rokwzgl=0 i lp=930</v>
      </c>
      <c r="F103" s="27" t="str">
        <f t="shared" si="25"/>
        <v>rokwzgl=1 i lp=930</v>
      </c>
      <c r="G103" s="27" t="str">
        <f t="shared" si="25"/>
        <v>rokwzgl=2 i lp=930</v>
      </c>
      <c r="H103" s="27" t="str">
        <f t="shared" si="25"/>
        <v>rokwzgl=3 i lp=930</v>
      </c>
      <c r="I103" s="27" t="str">
        <f t="shared" si="25"/>
        <v>rokwzgl=4 i lp=930</v>
      </c>
      <c r="J103" s="27" t="str">
        <f t="shared" si="25"/>
        <v>rokwzgl=5 i lp=930</v>
      </c>
      <c r="K103" s="27" t="str">
        <f t="shared" si="25"/>
        <v>rokwzgl=6 i lp=930</v>
      </c>
      <c r="L103" s="27" t="str">
        <f t="shared" si="25"/>
        <v>rokwzgl=7 i lp=930</v>
      </c>
      <c r="M103" s="27" t="str">
        <f t="shared" si="25"/>
        <v>rokwzgl=8 i lp=930</v>
      </c>
      <c r="N103" s="27" t="str">
        <f t="shared" si="26"/>
        <v>rokwzgl=9 i lp=930</v>
      </c>
      <c r="O103" s="27" t="str">
        <f t="shared" si="26"/>
        <v>rokwzgl=10 i lp=930</v>
      </c>
      <c r="P103" s="27" t="str">
        <f t="shared" si="26"/>
        <v>rokwzgl=11 i lp=930</v>
      </c>
      <c r="Q103" s="27" t="str">
        <f t="shared" si="26"/>
        <v>rokwzgl=12 i lp=930</v>
      </c>
      <c r="R103" s="27" t="str">
        <f t="shared" si="26"/>
        <v>rokwzgl=13 i lp=930</v>
      </c>
      <c r="S103" s="27" t="str">
        <f t="shared" si="26"/>
        <v>rokwzgl=14 i lp=930</v>
      </c>
      <c r="T103" s="27" t="str">
        <f t="shared" si="26"/>
        <v>rokwzgl=15 i lp=930</v>
      </c>
      <c r="U103" s="27" t="str">
        <f t="shared" si="26"/>
        <v>rokwzgl=16 i lp=930</v>
      </c>
      <c r="V103" s="27" t="str">
        <f t="shared" si="26"/>
        <v>rokwzgl=17 i lp=930</v>
      </c>
      <c r="W103" s="27" t="str">
        <f t="shared" si="26"/>
        <v>rokwzgl=18 i lp=930</v>
      </c>
      <c r="X103" s="27" t="str">
        <f t="shared" si="27"/>
        <v>rokwzgl=19 i lp=930</v>
      </c>
      <c r="Y103" s="27" t="str">
        <f t="shared" si="27"/>
        <v>rokwzgl=20 i lp=930</v>
      </c>
      <c r="Z103" s="27" t="str">
        <f t="shared" si="27"/>
        <v>rokwzgl=21 i lp=930</v>
      </c>
      <c r="AA103" s="27" t="str">
        <f t="shared" si="27"/>
        <v>rokwzgl=22 i lp=930</v>
      </c>
      <c r="AB103" s="27" t="str">
        <f t="shared" si="27"/>
        <v>rokwzgl=23 i lp=930</v>
      </c>
      <c r="AC103" s="27" t="str">
        <f t="shared" si="27"/>
        <v>rokwzgl=24 i lp=930</v>
      </c>
      <c r="AD103" s="27" t="str">
        <f t="shared" si="27"/>
        <v>rokwzgl=25 i lp=930</v>
      </c>
      <c r="AE103" s="27" t="str">
        <f t="shared" si="27"/>
        <v>rokwzgl=26 i lp=930</v>
      </c>
      <c r="AF103" s="27" t="str">
        <f t="shared" si="27"/>
        <v>rokwzgl=27 i lp=930</v>
      </c>
      <c r="AG103" s="27" t="str">
        <f t="shared" si="27"/>
        <v>rokwzgl=28 i lp=930</v>
      </c>
      <c r="AH103" s="27" t="str">
        <f t="shared" si="27"/>
        <v>rokwzgl=29 i lp=930</v>
      </c>
    </row>
    <row r="104" spans="1:34">
      <c r="A104" s="26">
        <v>940</v>
      </c>
      <c r="B104" s="26">
        <v>14.4</v>
      </c>
      <c r="C104" s="27" t="s">
        <v>173</v>
      </c>
      <c r="D104" s="27" t="str">
        <f t="shared" si="25"/>
        <v>rokwzgl=0 i lp=940</v>
      </c>
      <c r="E104" s="27" t="str">
        <f t="shared" si="25"/>
        <v>rokwzgl=0 i lp=940</v>
      </c>
      <c r="F104" s="27" t="str">
        <f t="shared" si="25"/>
        <v>rokwzgl=1 i lp=940</v>
      </c>
      <c r="G104" s="27" t="str">
        <f t="shared" si="25"/>
        <v>rokwzgl=2 i lp=940</v>
      </c>
      <c r="H104" s="27" t="str">
        <f t="shared" si="25"/>
        <v>rokwzgl=3 i lp=940</v>
      </c>
      <c r="I104" s="27" t="str">
        <f t="shared" si="25"/>
        <v>rokwzgl=4 i lp=940</v>
      </c>
      <c r="J104" s="27" t="str">
        <f t="shared" si="25"/>
        <v>rokwzgl=5 i lp=940</v>
      </c>
      <c r="K104" s="27" t="str">
        <f t="shared" si="25"/>
        <v>rokwzgl=6 i lp=940</v>
      </c>
      <c r="L104" s="27" t="str">
        <f t="shared" si="25"/>
        <v>rokwzgl=7 i lp=940</v>
      </c>
      <c r="M104" s="27" t="str">
        <f t="shared" si="25"/>
        <v>rokwzgl=8 i lp=940</v>
      </c>
      <c r="N104" s="27" t="str">
        <f t="shared" si="26"/>
        <v>rokwzgl=9 i lp=940</v>
      </c>
      <c r="O104" s="27" t="str">
        <f t="shared" si="26"/>
        <v>rokwzgl=10 i lp=940</v>
      </c>
      <c r="P104" s="27" t="str">
        <f t="shared" si="26"/>
        <v>rokwzgl=11 i lp=940</v>
      </c>
      <c r="Q104" s="27" t="str">
        <f t="shared" si="26"/>
        <v>rokwzgl=12 i lp=940</v>
      </c>
      <c r="R104" s="27" t="str">
        <f t="shared" si="26"/>
        <v>rokwzgl=13 i lp=940</v>
      </c>
      <c r="S104" s="27" t="str">
        <f t="shared" si="26"/>
        <v>rokwzgl=14 i lp=940</v>
      </c>
      <c r="T104" s="27" t="str">
        <f t="shared" si="26"/>
        <v>rokwzgl=15 i lp=940</v>
      </c>
      <c r="U104" s="27" t="str">
        <f t="shared" si="26"/>
        <v>rokwzgl=16 i lp=940</v>
      </c>
      <c r="V104" s="27" t="str">
        <f t="shared" si="26"/>
        <v>rokwzgl=17 i lp=940</v>
      </c>
      <c r="W104" s="27" t="str">
        <f t="shared" si="26"/>
        <v>rokwzgl=18 i lp=940</v>
      </c>
      <c r="X104" s="27" t="str">
        <f t="shared" si="27"/>
        <v>rokwzgl=19 i lp=940</v>
      </c>
      <c r="Y104" s="27" t="str">
        <f t="shared" si="27"/>
        <v>rokwzgl=20 i lp=940</v>
      </c>
      <c r="Z104" s="27" t="str">
        <f t="shared" si="27"/>
        <v>rokwzgl=21 i lp=940</v>
      </c>
      <c r="AA104" s="27" t="str">
        <f t="shared" si="27"/>
        <v>rokwzgl=22 i lp=940</v>
      </c>
      <c r="AB104" s="27" t="str">
        <f t="shared" si="27"/>
        <v>rokwzgl=23 i lp=940</v>
      </c>
      <c r="AC104" s="27" t="str">
        <f t="shared" si="27"/>
        <v>rokwzgl=24 i lp=940</v>
      </c>
      <c r="AD104" s="27" t="str">
        <f t="shared" si="27"/>
        <v>rokwzgl=25 i lp=940</v>
      </c>
      <c r="AE104" s="27" t="str">
        <f t="shared" si="27"/>
        <v>rokwzgl=26 i lp=940</v>
      </c>
      <c r="AF104" s="27" t="str">
        <f t="shared" si="27"/>
        <v>rokwzgl=27 i lp=940</v>
      </c>
      <c r="AG104" s="27" t="str">
        <f t="shared" si="27"/>
        <v>rokwzgl=28 i lp=940</v>
      </c>
      <c r="AH104" s="27" t="str">
        <f t="shared" si="27"/>
        <v>rokwzgl=29 i lp=940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5"/>
  <dimension ref="A1:Q448"/>
  <sheetViews>
    <sheetView workbookViewId="0">
      <selection activeCell="P4" sqref="P4:P448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4" max="14" width="16.875" customWidth="1"/>
    <col min="17" max="17" width="12.5" customWidth="1"/>
  </cols>
  <sheetData>
    <row r="1" spans="1:17" ht="15">
      <c r="A1" s="3" t="s">
        <v>38</v>
      </c>
      <c r="M1" s="7" t="s">
        <v>41</v>
      </c>
      <c r="N1" s="14">
        <f>MIN(M:M)</f>
        <v>2013</v>
      </c>
      <c r="P1" t="s">
        <v>281</v>
      </c>
      <c r="Q1">
        <f>MAX(M:M)</f>
        <v>2023</v>
      </c>
    </row>
    <row r="3" spans="1:17" ht="15" thickBot="1">
      <c r="A3" s="4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465</v>
      </c>
      <c r="M3" s="5" t="s">
        <v>30</v>
      </c>
      <c r="N3" s="5" t="s">
        <v>31</v>
      </c>
      <c r="O3" s="5" t="s">
        <v>32</v>
      </c>
      <c r="P3" s="5" t="s">
        <v>33</v>
      </c>
    </row>
    <row r="4" spans="1:17">
      <c r="A4" s="10">
        <v>2013</v>
      </c>
      <c r="B4" s="11" t="s">
        <v>466</v>
      </c>
      <c r="C4" s="11" t="s">
        <v>467</v>
      </c>
      <c r="D4" s="12">
        <v>1021011</v>
      </c>
      <c r="E4" s="12">
        <v>1</v>
      </c>
      <c r="F4" s="12"/>
      <c r="G4" s="12">
        <v>670</v>
      </c>
      <c r="H4" s="12">
        <v>12.1</v>
      </c>
      <c r="I4" s="12"/>
      <c r="J4" s="12" t="s">
        <v>135</v>
      </c>
      <c r="K4" s="12" t="b">
        <v>1</v>
      </c>
      <c r="L4" s="12">
        <v>1</v>
      </c>
      <c r="M4" s="8">
        <v>2014</v>
      </c>
      <c r="N4" s="9">
        <v>222594.71</v>
      </c>
      <c r="O4" s="13">
        <v>41578</v>
      </c>
      <c r="P4" s="13">
        <v>41578</v>
      </c>
    </row>
    <row r="5" spans="1:17">
      <c r="A5" s="10">
        <v>2013</v>
      </c>
      <c r="B5" s="11" t="s">
        <v>466</v>
      </c>
      <c r="C5" s="11" t="s">
        <v>467</v>
      </c>
      <c r="D5" s="12">
        <v>1021011</v>
      </c>
      <c r="E5" s="12">
        <v>1</v>
      </c>
      <c r="F5" s="12"/>
      <c r="G5" s="12">
        <v>670</v>
      </c>
      <c r="H5" s="12">
        <v>12.1</v>
      </c>
      <c r="I5" s="12"/>
      <c r="J5" s="12" t="s">
        <v>135</v>
      </c>
      <c r="K5" s="12" t="b">
        <v>1</v>
      </c>
      <c r="L5" s="12">
        <v>0</v>
      </c>
      <c r="M5" s="8">
        <v>2013</v>
      </c>
      <c r="N5" s="9">
        <v>1959769.75</v>
      </c>
      <c r="O5" s="13">
        <v>41578</v>
      </c>
      <c r="P5" s="13">
        <v>41578</v>
      </c>
    </row>
    <row r="6" spans="1:17">
      <c r="A6" s="10">
        <v>2013</v>
      </c>
      <c r="B6" s="11" t="s">
        <v>466</v>
      </c>
      <c r="C6" s="11" t="s">
        <v>467</v>
      </c>
      <c r="D6" s="12">
        <v>1021011</v>
      </c>
      <c r="E6" s="12">
        <v>1</v>
      </c>
      <c r="F6" s="12"/>
      <c r="G6" s="12">
        <v>610</v>
      </c>
      <c r="H6" s="12" t="s">
        <v>127</v>
      </c>
      <c r="I6" s="12"/>
      <c r="J6" s="12" t="s">
        <v>128</v>
      </c>
      <c r="K6" s="12" t="b">
        <v>1</v>
      </c>
      <c r="L6" s="12">
        <v>6</v>
      </c>
      <c r="M6" s="8">
        <v>2019</v>
      </c>
      <c r="N6" s="9">
        <v>56</v>
      </c>
      <c r="O6" s="13">
        <v>41578</v>
      </c>
      <c r="P6" s="13">
        <v>41578</v>
      </c>
    </row>
    <row r="7" spans="1:17">
      <c r="A7" s="10">
        <v>2013</v>
      </c>
      <c r="B7" s="11" t="s">
        <v>466</v>
      </c>
      <c r="C7" s="11" t="s">
        <v>467</v>
      </c>
      <c r="D7" s="12">
        <v>1021011</v>
      </c>
      <c r="E7" s="12">
        <v>1</v>
      </c>
      <c r="F7" s="12"/>
      <c r="G7" s="12">
        <v>610</v>
      </c>
      <c r="H7" s="12" t="s">
        <v>127</v>
      </c>
      <c r="I7" s="12"/>
      <c r="J7" s="12" t="s">
        <v>128</v>
      </c>
      <c r="K7" s="12" t="b">
        <v>1</v>
      </c>
      <c r="L7" s="12">
        <v>4</v>
      </c>
      <c r="M7" s="8">
        <v>2017</v>
      </c>
      <c r="N7" s="9">
        <v>56</v>
      </c>
      <c r="O7" s="13">
        <v>41578</v>
      </c>
      <c r="P7" s="13">
        <v>41578</v>
      </c>
    </row>
    <row r="8" spans="1:17">
      <c r="A8" s="10">
        <v>2013</v>
      </c>
      <c r="B8" s="11" t="s">
        <v>466</v>
      </c>
      <c r="C8" s="11" t="s">
        <v>467</v>
      </c>
      <c r="D8" s="12">
        <v>1021011</v>
      </c>
      <c r="E8" s="12">
        <v>1</v>
      </c>
      <c r="F8" s="12"/>
      <c r="G8" s="12">
        <v>610</v>
      </c>
      <c r="H8" s="12" t="s">
        <v>127</v>
      </c>
      <c r="I8" s="12"/>
      <c r="J8" s="12" t="s">
        <v>128</v>
      </c>
      <c r="K8" s="12" t="b">
        <v>1</v>
      </c>
      <c r="L8" s="12">
        <v>3</v>
      </c>
      <c r="M8" s="8">
        <v>2016</v>
      </c>
      <c r="N8" s="9">
        <v>56</v>
      </c>
      <c r="O8" s="13">
        <v>41578</v>
      </c>
      <c r="P8" s="13">
        <v>41578</v>
      </c>
    </row>
    <row r="9" spans="1:17">
      <c r="A9" s="10">
        <v>2013</v>
      </c>
      <c r="B9" s="11" t="s">
        <v>466</v>
      </c>
      <c r="C9" s="11" t="s">
        <v>467</v>
      </c>
      <c r="D9" s="12">
        <v>1021011</v>
      </c>
      <c r="E9" s="12">
        <v>1</v>
      </c>
      <c r="F9" s="12"/>
      <c r="G9" s="12">
        <v>610</v>
      </c>
      <c r="H9" s="12" t="s">
        <v>127</v>
      </c>
      <c r="I9" s="12"/>
      <c r="J9" s="12" t="s">
        <v>128</v>
      </c>
      <c r="K9" s="12" t="b">
        <v>1</v>
      </c>
      <c r="L9" s="12">
        <v>7</v>
      </c>
      <c r="M9" s="8">
        <v>2020</v>
      </c>
      <c r="N9" s="9">
        <v>20</v>
      </c>
      <c r="O9" s="13">
        <v>41578</v>
      </c>
      <c r="P9" s="13">
        <v>41578</v>
      </c>
    </row>
    <row r="10" spans="1:17">
      <c r="A10" s="10">
        <v>2013</v>
      </c>
      <c r="B10" s="11" t="s">
        <v>466</v>
      </c>
      <c r="C10" s="11" t="s">
        <v>467</v>
      </c>
      <c r="D10" s="12">
        <v>1021011</v>
      </c>
      <c r="E10" s="12">
        <v>1</v>
      </c>
      <c r="F10" s="12"/>
      <c r="G10" s="12">
        <v>610</v>
      </c>
      <c r="H10" s="12" t="s">
        <v>127</v>
      </c>
      <c r="I10" s="12"/>
      <c r="J10" s="12" t="s">
        <v>128</v>
      </c>
      <c r="K10" s="12" t="b">
        <v>1</v>
      </c>
      <c r="L10" s="12">
        <v>2</v>
      </c>
      <c r="M10" s="8">
        <v>2015</v>
      </c>
      <c r="N10" s="9">
        <v>449902.82</v>
      </c>
      <c r="O10" s="13">
        <v>41578</v>
      </c>
      <c r="P10" s="13">
        <v>41578</v>
      </c>
    </row>
    <row r="11" spans="1:17">
      <c r="A11" s="10">
        <v>2013</v>
      </c>
      <c r="B11" s="11" t="s">
        <v>466</v>
      </c>
      <c r="C11" s="11" t="s">
        <v>467</v>
      </c>
      <c r="D11" s="12">
        <v>1021011</v>
      </c>
      <c r="E11" s="12">
        <v>1</v>
      </c>
      <c r="F11" s="12"/>
      <c r="G11" s="12">
        <v>610</v>
      </c>
      <c r="H11" s="12" t="s">
        <v>127</v>
      </c>
      <c r="I11" s="12"/>
      <c r="J11" s="12" t="s">
        <v>128</v>
      </c>
      <c r="K11" s="12" t="b">
        <v>1</v>
      </c>
      <c r="L11" s="12">
        <v>5</v>
      </c>
      <c r="M11" s="8">
        <v>2018</v>
      </c>
      <c r="N11" s="9">
        <v>56</v>
      </c>
      <c r="O11" s="13">
        <v>41578</v>
      </c>
      <c r="P11" s="13">
        <v>41578</v>
      </c>
    </row>
    <row r="12" spans="1:17">
      <c r="A12" s="10">
        <v>2013</v>
      </c>
      <c r="B12" s="11" t="s">
        <v>466</v>
      </c>
      <c r="C12" s="11" t="s">
        <v>467</v>
      </c>
      <c r="D12" s="12">
        <v>1021011</v>
      </c>
      <c r="E12" s="12">
        <v>1</v>
      </c>
      <c r="F12" s="12"/>
      <c r="G12" s="12">
        <v>610</v>
      </c>
      <c r="H12" s="12" t="s">
        <v>127</v>
      </c>
      <c r="I12" s="12"/>
      <c r="J12" s="12" t="s">
        <v>128</v>
      </c>
      <c r="K12" s="12" t="b">
        <v>1</v>
      </c>
      <c r="L12" s="12">
        <v>0</v>
      </c>
      <c r="M12" s="8">
        <v>2013</v>
      </c>
      <c r="N12" s="9">
        <v>1322372.51</v>
      </c>
      <c r="O12" s="13">
        <v>41578</v>
      </c>
      <c r="P12" s="13">
        <v>41578</v>
      </c>
    </row>
    <row r="13" spans="1:17">
      <c r="A13" s="10">
        <v>2013</v>
      </c>
      <c r="B13" s="11" t="s">
        <v>466</v>
      </c>
      <c r="C13" s="11" t="s">
        <v>467</v>
      </c>
      <c r="D13" s="12">
        <v>1021011</v>
      </c>
      <c r="E13" s="12">
        <v>1</v>
      </c>
      <c r="F13" s="12"/>
      <c r="G13" s="12">
        <v>610</v>
      </c>
      <c r="H13" s="12" t="s">
        <v>127</v>
      </c>
      <c r="I13" s="12"/>
      <c r="J13" s="12" t="s">
        <v>128</v>
      </c>
      <c r="K13" s="12" t="b">
        <v>1</v>
      </c>
      <c r="L13" s="12">
        <v>1</v>
      </c>
      <c r="M13" s="8">
        <v>2014</v>
      </c>
      <c r="N13" s="9">
        <v>2157115.13</v>
      </c>
      <c r="O13" s="13">
        <v>41578</v>
      </c>
      <c r="P13" s="13">
        <v>41578</v>
      </c>
    </row>
    <row r="14" spans="1:17">
      <c r="A14" s="10">
        <v>2013</v>
      </c>
      <c r="B14" s="11" t="s">
        <v>466</v>
      </c>
      <c r="C14" s="11" t="s">
        <v>467</v>
      </c>
      <c r="D14" s="12">
        <v>1021011</v>
      </c>
      <c r="E14" s="12">
        <v>1</v>
      </c>
      <c r="F14" s="12"/>
      <c r="G14" s="12">
        <v>750</v>
      </c>
      <c r="H14" s="12" t="s">
        <v>148</v>
      </c>
      <c r="I14" s="12"/>
      <c r="J14" s="12" t="s">
        <v>149</v>
      </c>
      <c r="K14" s="12" t="b">
        <v>0</v>
      </c>
      <c r="L14" s="12">
        <v>0</v>
      </c>
      <c r="M14" s="8">
        <v>2013</v>
      </c>
      <c r="N14" s="9">
        <v>1974899.23</v>
      </c>
      <c r="O14" s="13">
        <v>41578</v>
      </c>
      <c r="P14" s="13">
        <v>41578</v>
      </c>
    </row>
    <row r="15" spans="1:17">
      <c r="A15" s="10">
        <v>2013</v>
      </c>
      <c r="B15" s="11" t="s">
        <v>466</v>
      </c>
      <c r="C15" s="11" t="s">
        <v>467</v>
      </c>
      <c r="D15" s="12">
        <v>1021011</v>
      </c>
      <c r="E15" s="12">
        <v>1</v>
      </c>
      <c r="F15" s="12"/>
      <c r="G15" s="12">
        <v>310</v>
      </c>
      <c r="H15" s="12">
        <v>5.0999999999999996</v>
      </c>
      <c r="I15" s="12"/>
      <c r="J15" s="12" t="s">
        <v>94</v>
      </c>
      <c r="K15" s="12" t="b">
        <v>1</v>
      </c>
      <c r="L15" s="12">
        <v>0</v>
      </c>
      <c r="M15" s="8">
        <v>2013</v>
      </c>
      <c r="N15" s="9">
        <v>4710000</v>
      </c>
      <c r="O15" s="13">
        <v>41578</v>
      </c>
      <c r="P15" s="13">
        <v>41578</v>
      </c>
    </row>
    <row r="16" spans="1:17">
      <c r="A16" s="10">
        <v>2013</v>
      </c>
      <c r="B16" s="11" t="s">
        <v>466</v>
      </c>
      <c r="C16" s="11" t="s">
        <v>467</v>
      </c>
      <c r="D16" s="12">
        <v>1021011</v>
      </c>
      <c r="E16" s="12">
        <v>1</v>
      </c>
      <c r="F16" s="12"/>
      <c r="G16" s="12">
        <v>310</v>
      </c>
      <c r="H16" s="12">
        <v>5.0999999999999996</v>
      </c>
      <c r="I16" s="12"/>
      <c r="J16" s="12" t="s">
        <v>94</v>
      </c>
      <c r="K16" s="12" t="b">
        <v>1</v>
      </c>
      <c r="L16" s="12">
        <v>1</v>
      </c>
      <c r="M16" s="8">
        <v>2014</v>
      </c>
      <c r="N16" s="9">
        <v>938060.16</v>
      </c>
      <c r="O16" s="13">
        <v>41578</v>
      </c>
      <c r="P16" s="13">
        <v>41578</v>
      </c>
    </row>
    <row r="17" spans="1:16">
      <c r="A17" s="10">
        <v>2013</v>
      </c>
      <c r="B17" s="11" t="s">
        <v>466</v>
      </c>
      <c r="C17" s="11" t="s">
        <v>467</v>
      </c>
      <c r="D17" s="12">
        <v>1021011</v>
      </c>
      <c r="E17" s="12">
        <v>1</v>
      </c>
      <c r="F17" s="12"/>
      <c r="G17" s="12">
        <v>310</v>
      </c>
      <c r="H17" s="12">
        <v>5.0999999999999996</v>
      </c>
      <c r="I17" s="12"/>
      <c r="J17" s="12" t="s">
        <v>94</v>
      </c>
      <c r="K17" s="12" t="b">
        <v>1</v>
      </c>
      <c r="L17" s="12">
        <v>6</v>
      </c>
      <c r="M17" s="8">
        <v>2019</v>
      </c>
      <c r="N17" s="9">
        <v>1610004</v>
      </c>
      <c r="O17" s="13">
        <v>41578</v>
      </c>
      <c r="P17" s="13">
        <v>41578</v>
      </c>
    </row>
    <row r="18" spans="1:16">
      <c r="A18" s="10">
        <v>2013</v>
      </c>
      <c r="B18" s="11" t="s">
        <v>466</v>
      </c>
      <c r="C18" s="11" t="s">
        <v>467</v>
      </c>
      <c r="D18" s="12">
        <v>1021011</v>
      </c>
      <c r="E18" s="12">
        <v>1</v>
      </c>
      <c r="F18" s="12"/>
      <c r="G18" s="12">
        <v>310</v>
      </c>
      <c r="H18" s="12">
        <v>5.0999999999999996</v>
      </c>
      <c r="I18" s="12"/>
      <c r="J18" s="12" t="s">
        <v>94</v>
      </c>
      <c r="K18" s="12" t="b">
        <v>1</v>
      </c>
      <c r="L18" s="12">
        <v>3</v>
      </c>
      <c r="M18" s="8">
        <v>2016</v>
      </c>
      <c r="N18" s="9">
        <v>1565696</v>
      </c>
      <c r="O18" s="13">
        <v>41578</v>
      </c>
      <c r="P18" s="13">
        <v>41578</v>
      </c>
    </row>
    <row r="19" spans="1:16">
      <c r="A19" s="10">
        <v>2013</v>
      </c>
      <c r="B19" s="11" t="s">
        <v>466</v>
      </c>
      <c r="C19" s="11" t="s">
        <v>467</v>
      </c>
      <c r="D19" s="12">
        <v>1021011</v>
      </c>
      <c r="E19" s="12">
        <v>1</v>
      </c>
      <c r="F19" s="12"/>
      <c r="G19" s="12">
        <v>310</v>
      </c>
      <c r="H19" s="12">
        <v>5.0999999999999996</v>
      </c>
      <c r="I19" s="12"/>
      <c r="J19" s="12" t="s">
        <v>94</v>
      </c>
      <c r="K19" s="12" t="b">
        <v>1</v>
      </c>
      <c r="L19" s="12">
        <v>8</v>
      </c>
      <c r="M19" s="8">
        <v>2021</v>
      </c>
      <c r="N19" s="9">
        <v>1610004</v>
      </c>
      <c r="O19" s="13">
        <v>41578</v>
      </c>
      <c r="P19" s="13">
        <v>41578</v>
      </c>
    </row>
    <row r="20" spans="1:16">
      <c r="A20" s="10">
        <v>2013</v>
      </c>
      <c r="B20" s="11" t="s">
        <v>466</v>
      </c>
      <c r="C20" s="11" t="s">
        <v>467</v>
      </c>
      <c r="D20" s="12">
        <v>1021011</v>
      </c>
      <c r="E20" s="12">
        <v>1</v>
      </c>
      <c r="F20" s="12"/>
      <c r="G20" s="12">
        <v>310</v>
      </c>
      <c r="H20" s="12">
        <v>5.0999999999999996</v>
      </c>
      <c r="I20" s="12"/>
      <c r="J20" s="12" t="s">
        <v>94</v>
      </c>
      <c r="K20" s="12" t="b">
        <v>1</v>
      </c>
      <c r="L20" s="12">
        <v>10</v>
      </c>
      <c r="M20" s="8">
        <v>2023</v>
      </c>
      <c r="N20" s="9">
        <v>1710000</v>
      </c>
      <c r="O20" s="13">
        <v>41578</v>
      </c>
      <c r="P20" s="13">
        <v>41578</v>
      </c>
    </row>
    <row r="21" spans="1:16">
      <c r="A21" s="10">
        <v>2013</v>
      </c>
      <c r="B21" s="11" t="s">
        <v>466</v>
      </c>
      <c r="C21" s="11" t="s">
        <v>467</v>
      </c>
      <c r="D21" s="12">
        <v>1021011</v>
      </c>
      <c r="E21" s="12">
        <v>1</v>
      </c>
      <c r="F21" s="12"/>
      <c r="G21" s="12">
        <v>310</v>
      </c>
      <c r="H21" s="12">
        <v>5.0999999999999996</v>
      </c>
      <c r="I21" s="12"/>
      <c r="J21" s="12" t="s">
        <v>94</v>
      </c>
      <c r="K21" s="12" t="b">
        <v>1</v>
      </c>
      <c r="L21" s="12">
        <v>7</v>
      </c>
      <c r="M21" s="8">
        <v>2020</v>
      </c>
      <c r="N21" s="9">
        <v>1610004</v>
      </c>
      <c r="O21" s="13">
        <v>41578</v>
      </c>
      <c r="P21" s="13">
        <v>41578</v>
      </c>
    </row>
    <row r="22" spans="1:16">
      <c r="A22" s="10">
        <v>2013</v>
      </c>
      <c r="B22" s="11" t="s">
        <v>466</v>
      </c>
      <c r="C22" s="11" t="s">
        <v>467</v>
      </c>
      <c r="D22" s="12">
        <v>1021011</v>
      </c>
      <c r="E22" s="12">
        <v>1</v>
      </c>
      <c r="F22" s="12"/>
      <c r="G22" s="12">
        <v>310</v>
      </c>
      <c r="H22" s="12">
        <v>5.0999999999999996</v>
      </c>
      <c r="I22" s="12"/>
      <c r="J22" s="12" t="s">
        <v>94</v>
      </c>
      <c r="K22" s="12" t="b">
        <v>1</v>
      </c>
      <c r="L22" s="12">
        <v>5</v>
      </c>
      <c r="M22" s="8">
        <v>2018</v>
      </c>
      <c r="N22" s="9">
        <v>1678204</v>
      </c>
      <c r="O22" s="13">
        <v>41578</v>
      </c>
      <c r="P22" s="13">
        <v>41578</v>
      </c>
    </row>
    <row r="23" spans="1:16">
      <c r="A23" s="10">
        <v>2013</v>
      </c>
      <c r="B23" s="11" t="s">
        <v>466</v>
      </c>
      <c r="C23" s="11" t="s">
        <v>467</v>
      </c>
      <c r="D23" s="12">
        <v>1021011</v>
      </c>
      <c r="E23" s="12">
        <v>1</v>
      </c>
      <c r="F23" s="12"/>
      <c r="G23" s="12">
        <v>310</v>
      </c>
      <c r="H23" s="12">
        <v>5.0999999999999996</v>
      </c>
      <c r="I23" s="12"/>
      <c r="J23" s="12" t="s">
        <v>94</v>
      </c>
      <c r="K23" s="12" t="b">
        <v>1</v>
      </c>
      <c r="L23" s="12">
        <v>2</v>
      </c>
      <c r="M23" s="8">
        <v>2015</v>
      </c>
      <c r="N23" s="9">
        <v>1215692</v>
      </c>
      <c r="O23" s="13">
        <v>41578</v>
      </c>
      <c r="P23" s="13">
        <v>41578</v>
      </c>
    </row>
    <row r="24" spans="1:16">
      <c r="A24" s="10">
        <v>2013</v>
      </c>
      <c r="B24" s="11" t="s">
        <v>466</v>
      </c>
      <c r="C24" s="11" t="s">
        <v>467</v>
      </c>
      <c r="D24" s="12">
        <v>1021011</v>
      </c>
      <c r="E24" s="12">
        <v>1</v>
      </c>
      <c r="F24" s="12"/>
      <c r="G24" s="12">
        <v>310</v>
      </c>
      <c r="H24" s="12">
        <v>5.0999999999999996</v>
      </c>
      <c r="I24" s="12"/>
      <c r="J24" s="12" t="s">
        <v>94</v>
      </c>
      <c r="K24" s="12" t="b">
        <v>1</v>
      </c>
      <c r="L24" s="12">
        <v>4</v>
      </c>
      <c r="M24" s="8">
        <v>2017</v>
      </c>
      <c r="N24" s="9">
        <v>1915700</v>
      </c>
      <c r="O24" s="13">
        <v>41578</v>
      </c>
      <c r="P24" s="13">
        <v>41578</v>
      </c>
    </row>
    <row r="25" spans="1:16">
      <c r="A25" s="10">
        <v>2013</v>
      </c>
      <c r="B25" s="11" t="s">
        <v>466</v>
      </c>
      <c r="C25" s="11" t="s">
        <v>467</v>
      </c>
      <c r="D25" s="12">
        <v>1021011</v>
      </c>
      <c r="E25" s="12">
        <v>1</v>
      </c>
      <c r="F25" s="12"/>
      <c r="G25" s="12">
        <v>310</v>
      </c>
      <c r="H25" s="12">
        <v>5.0999999999999996</v>
      </c>
      <c r="I25" s="12"/>
      <c r="J25" s="12" t="s">
        <v>94</v>
      </c>
      <c r="K25" s="12" t="b">
        <v>1</v>
      </c>
      <c r="L25" s="12">
        <v>9</v>
      </c>
      <c r="M25" s="8">
        <v>2022</v>
      </c>
      <c r="N25" s="9">
        <v>1650004</v>
      </c>
      <c r="O25" s="13">
        <v>41578</v>
      </c>
      <c r="P25" s="13">
        <v>41578</v>
      </c>
    </row>
    <row r="26" spans="1:16">
      <c r="A26" s="10">
        <v>2013</v>
      </c>
      <c r="B26" s="11" t="s">
        <v>466</v>
      </c>
      <c r="C26" s="11" t="s">
        <v>467</v>
      </c>
      <c r="D26" s="12">
        <v>1021011</v>
      </c>
      <c r="E26" s="12">
        <v>1</v>
      </c>
      <c r="F26" s="12"/>
      <c r="G26" s="12">
        <v>90</v>
      </c>
      <c r="H26" s="12">
        <v>1.2</v>
      </c>
      <c r="I26" s="12"/>
      <c r="J26" s="12" t="s">
        <v>66</v>
      </c>
      <c r="K26" s="12" t="b">
        <v>1</v>
      </c>
      <c r="L26" s="12">
        <v>0</v>
      </c>
      <c r="M26" s="8">
        <v>2013</v>
      </c>
      <c r="N26" s="9">
        <v>4674343.3600000003</v>
      </c>
      <c r="O26" s="13">
        <v>41578</v>
      </c>
      <c r="P26" s="13">
        <v>41578</v>
      </c>
    </row>
    <row r="27" spans="1:16">
      <c r="A27" s="10">
        <v>2013</v>
      </c>
      <c r="B27" s="11" t="s">
        <v>466</v>
      </c>
      <c r="C27" s="11" t="s">
        <v>467</v>
      </c>
      <c r="D27" s="12">
        <v>1021011</v>
      </c>
      <c r="E27" s="12">
        <v>1</v>
      </c>
      <c r="F27" s="12"/>
      <c r="G27" s="12">
        <v>500</v>
      </c>
      <c r="H27" s="12">
        <v>9.6</v>
      </c>
      <c r="I27" s="12" t="s">
        <v>468</v>
      </c>
      <c r="J27" s="12" t="s">
        <v>112</v>
      </c>
      <c r="K27" s="12" t="b">
        <v>0</v>
      </c>
      <c r="L27" s="12">
        <v>10</v>
      </c>
      <c r="M27" s="8">
        <v>2023</v>
      </c>
      <c r="N27" s="9">
        <v>5.2499999999999998E-2</v>
      </c>
      <c r="O27" s="13">
        <v>41578</v>
      </c>
      <c r="P27" s="13">
        <v>41578</v>
      </c>
    </row>
    <row r="28" spans="1:16">
      <c r="A28" s="10">
        <v>2013</v>
      </c>
      <c r="B28" s="11" t="s">
        <v>466</v>
      </c>
      <c r="C28" s="11" t="s">
        <v>467</v>
      </c>
      <c r="D28" s="12">
        <v>1021011</v>
      </c>
      <c r="E28" s="12">
        <v>1</v>
      </c>
      <c r="F28" s="12"/>
      <c r="G28" s="12">
        <v>260</v>
      </c>
      <c r="H28" s="12">
        <v>4.3</v>
      </c>
      <c r="I28" s="12"/>
      <c r="J28" s="12" t="s">
        <v>89</v>
      </c>
      <c r="K28" s="12" t="b">
        <v>1</v>
      </c>
      <c r="L28" s="12">
        <v>0</v>
      </c>
      <c r="M28" s="8">
        <v>2013</v>
      </c>
      <c r="N28" s="9">
        <v>4710000</v>
      </c>
      <c r="O28" s="13">
        <v>41578</v>
      </c>
      <c r="P28" s="13">
        <v>41578</v>
      </c>
    </row>
    <row r="29" spans="1:16">
      <c r="A29" s="10">
        <v>2013</v>
      </c>
      <c r="B29" s="11" t="s">
        <v>466</v>
      </c>
      <c r="C29" s="11" t="s">
        <v>467</v>
      </c>
      <c r="D29" s="12">
        <v>1021011</v>
      </c>
      <c r="E29" s="12">
        <v>1</v>
      </c>
      <c r="F29" s="12"/>
      <c r="G29" s="12">
        <v>600</v>
      </c>
      <c r="H29" s="12">
        <v>11.3</v>
      </c>
      <c r="I29" s="12" t="s">
        <v>469</v>
      </c>
      <c r="J29" s="12" t="s">
        <v>126</v>
      </c>
      <c r="K29" s="12" t="b">
        <v>1</v>
      </c>
      <c r="L29" s="12">
        <v>1</v>
      </c>
      <c r="M29" s="8">
        <v>2014</v>
      </c>
      <c r="N29" s="9">
        <v>5777805.4299999997</v>
      </c>
      <c r="O29" s="13">
        <v>41578</v>
      </c>
      <c r="P29" s="13">
        <v>41578</v>
      </c>
    </row>
    <row r="30" spans="1:16">
      <c r="A30" s="10">
        <v>2013</v>
      </c>
      <c r="B30" s="11" t="s">
        <v>466</v>
      </c>
      <c r="C30" s="11" t="s">
        <v>467</v>
      </c>
      <c r="D30" s="12">
        <v>1021011</v>
      </c>
      <c r="E30" s="12">
        <v>1</v>
      </c>
      <c r="F30" s="12"/>
      <c r="G30" s="12">
        <v>500</v>
      </c>
      <c r="H30" s="12">
        <v>9.6</v>
      </c>
      <c r="I30" s="12" t="s">
        <v>468</v>
      </c>
      <c r="J30" s="12" t="s">
        <v>112</v>
      </c>
      <c r="K30" s="12" t="b">
        <v>0</v>
      </c>
      <c r="L30" s="12">
        <v>4</v>
      </c>
      <c r="M30" s="8">
        <v>2017</v>
      </c>
      <c r="N30" s="9">
        <v>7.6899999999999996E-2</v>
      </c>
      <c r="O30" s="13">
        <v>41578</v>
      </c>
      <c r="P30" s="13">
        <v>41578</v>
      </c>
    </row>
    <row r="31" spans="1:16">
      <c r="A31" s="10">
        <v>2013</v>
      </c>
      <c r="B31" s="11" t="s">
        <v>466</v>
      </c>
      <c r="C31" s="11" t="s">
        <v>467</v>
      </c>
      <c r="D31" s="12">
        <v>1021011</v>
      </c>
      <c r="E31" s="12">
        <v>1</v>
      </c>
      <c r="F31" s="12"/>
      <c r="G31" s="12">
        <v>500</v>
      </c>
      <c r="H31" s="12">
        <v>9.6</v>
      </c>
      <c r="I31" s="12" t="s">
        <v>468</v>
      </c>
      <c r="J31" s="12" t="s">
        <v>112</v>
      </c>
      <c r="K31" s="12" t="b">
        <v>0</v>
      </c>
      <c r="L31" s="12">
        <v>6</v>
      </c>
      <c r="M31" s="8">
        <v>2019</v>
      </c>
      <c r="N31" s="9">
        <v>6.13E-2</v>
      </c>
      <c r="O31" s="13">
        <v>41578</v>
      </c>
      <c r="P31" s="13">
        <v>41578</v>
      </c>
    </row>
    <row r="32" spans="1:16">
      <c r="A32" s="10">
        <v>2013</v>
      </c>
      <c r="B32" s="11" t="s">
        <v>466</v>
      </c>
      <c r="C32" s="11" t="s">
        <v>467</v>
      </c>
      <c r="D32" s="12">
        <v>1021011</v>
      </c>
      <c r="E32" s="12">
        <v>1</v>
      </c>
      <c r="F32" s="12"/>
      <c r="G32" s="12">
        <v>500</v>
      </c>
      <c r="H32" s="12">
        <v>9.6</v>
      </c>
      <c r="I32" s="12" t="s">
        <v>468</v>
      </c>
      <c r="J32" s="12" t="s">
        <v>112</v>
      </c>
      <c r="K32" s="12" t="b">
        <v>0</v>
      </c>
      <c r="L32" s="12">
        <v>9</v>
      </c>
      <c r="M32" s="8">
        <v>2022</v>
      </c>
      <c r="N32" s="9">
        <v>5.3199999999999997E-2</v>
      </c>
      <c r="O32" s="13">
        <v>41578</v>
      </c>
      <c r="P32" s="13">
        <v>41578</v>
      </c>
    </row>
    <row r="33" spans="1:16">
      <c r="A33" s="10">
        <v>2013</v>
      </c>
      <c r="B33" s="11" t="s">
        <v>466</v>
      </c>
      <c r="C33" s="11" t="s">
        <v>467</v>
      </c>
      <c r="D33" s="12">
        <v>1021011</v>
      </c>
      <c r="E33" s="12">
        <v>1</v>
      </c>
      <c r="F33" s="12"/>
      <c r="G33" s="12">
        <v>500</v>
      </c>
      <c r="H33" s="12">
        <v>9.6</v>
      </c>
      <c r="I33" s="12" t="s">
        <v>468</v>
      </c>
      <c r="J33" s="12" t="s">
        <v>112</v>
      </c>
      <c r="K33" s="12" t="b">
        <v>0</v>
      </c>
      <c r="L33" s="12">
        <v>2</v>
      </c>
      <c r="M33" s="8">
        <v>2015</v>
      </c>
      <c r="N33" s="9">
        <v>5.9799999999999999E-2</v>
      </c>
      <c r="O33" s="13">
        <v>41578</v>
      </c>
      <c r="P33" s="13">
        <v>41578</v>
      </c>
    </row>
    <row r="34" spans="1:16">
      <c r="A34" s="10">
        <v>2013</v>
      </c>
      <c r="B34" s="11" t="s">
        <v>466</v>
      </c>
      <c r="C34" s="11" t="s">
        <v>467</v>
      </c>
      <c r="D34" s="12">
        <v>1021011</v>
      </c>
      <c r="E34" s="12">
        <v>1</v>
      </c>
      <c r="F34" s="12"/>
      <c r="G34" s="12">
        <v>500</v>
      </c>
      <c r="H34" s="12">
        <v>9.6</v>
      </c>
      <c r="I34" s="12" t="s">
        <v>468</v>
      </c>
      <c r="J34" s="12" t="s">
        <v>112</v>
      </c>
      <c r="K34" s="12" t="b">
        <v>0</v>
      </c>
      <c r="L34" s="12">
        <v>0</v>
      </c>
      <c r="M34" s="8">
        <v>2013</v>
      </c>
      <c r="N34" s="9">
        <v>0.14560000000000001</v>
      </c>
      <c r="O34" s="13">
        <v>41578</v>
      </c>
      <c r="P34" s="13">
        <v>41578</v>
      </c>
    </row>
    <row r="35" spans="1:16">
      <c r="A35" s="10">
        <v>2013</v>
      </c>
      <c r="B35" s="11" t="s">
        <v>466</v>
      </c>
      <c r="C35" s="11" t="s">
        <v>467</v>
      </c>
      <c r="D35" s="12">
        <v>1021011</v>
      </c>
      <c r="E35" s="12">
        <v>1</v>
      </c>
      <c r="F35" s="12"/>
      <c r="G35" s="12">
        <v>500</v>
      </c>
      <c r="H35" s="12">
        <v>9.6</v>
      </c>
      <c r="I35" s="12" t="s">
        <v>468</v>
      </c>
      <c r="J35" s="12" t="s">
        <v>112</v>
      </c>
      <c r="K35" s="12" t="b">
        <v>0</v>
      </c>
      <c r="L35" s="12">
        <v>8</v>
      </c>
      <c r="M35" s="8">
        <v>2021</v>
      </c>
      <c r="N35" s="9">
        <v>5.5800000000000002E-2</v>
      </c>
      <c r="O35" s="13">
        <v>41578</v>
      </c>
      <c r="P35" s="13">
        <v>41578</v>
      </c>
    </row>
    <row r="36" spans="1:16">
      <c r="A36" s="10">
        <v>2013</v>
      </c>
      <c r="B36" s="11" t="s">
        <v>466</v>
      </c>
      <c r="C36" s="11" t="s">
        <v>467</v>
      </c>
      <c r="D36" s="12">
        <v>1021011</v>
      </c>
      <c r="E36" s="12">
        <v>1</v>
      </c>
      <c r="F36" s="12"/>
      <c r="G36" s="12">
        <v>500</v>
      </c>
      <c r="H36" s="12">
        <v>9.6</v>
      </c>
      <c r="I36" s="12" t="s">
        <v>468</v>
      </c>
      <c r="J36" s="12" t="s">
        <v>112</v>
      </c>
      <c r="K36" s="12" t="b">
        <v>0</v>
      </c>
      <c r="L36" s="12">
        <v>3</v>
      </c>
      <c r="M36" s="8">
        <v>2016</v>
      </c>
      <c r="N36" s="9">
        <v>6.9199999999999998E-2</v>
      </c>
      <c r="O36" s="13">
        <v>41578</v>
      </c>
      <c r="P36" s="13">
        <v>41578</v>
      </c>
    </row>
    <row r="37" spans="1:16">
      <c r="A37" s="10">
        <v>2013</v>
      </c>
      <c r="B37" s="11" t="s">
        <v>466</v>
      </c>
      <c r="C37" s="11" t="s">
        <v>467</v>
      </c>
      <c r="D37" s="12">
        <v>1021011</v>
      </c>
      <c r="E37" s="12">
        <v>1</v>
      </c>
      <c r="F37" s="12"/>
      <c r="G37" s="12">
        <v>500</v>
      </c>
      <c r="H37" s="12">
        <v>9.6</v>
      </c>
      <c r="I37" s="12" t="s">
        <v>468</v>
      </c>
      <c r="J37" s="12" t="s">
        <v>112</v>
      </c>
      <c r="K37" s="12" t="b">
        <v>0</v>
      </c>
      <c r="L37" s="12">
        <v>5</v>
      </c>
      <c r="M37" s="8">
        <v>2018</v>
      </c>
      <c r="N37" s="9">
        <v>6.6299999999999998E-2</v>
      </c>
      <c r="O37" s="13">
        <v>41578</v>
      </c>
      <c r="P37" s="13">
        <v>41578</v>
      </c>
    </row>
    <row r="38" spans="1:16">
      <c r="A38" s="10">
        <v>2013</v>
      </c>
      <c r="B38" s="11" t="s">
        <v>466</v>
      </c>
      <c r="C38" s="11" t="s">
        <v>467</v>
      </c>
      <c r="D38" s="12">
        <v>1021011</v>
      </c>
      <c r="E38" s="12">
        <v>1</v>
      </c>
      <c r="F38" s="12"/>
      <c r="G38" s="12">
        <v>500</v>
      </c>
      <c r="H38" s="12">
        <v>9.6</v>
      </c>
      <c r="I38" s="12" t="s">
        <v>468</v>
      </c>
      <c r="J38" s="12" t="s">
        <v>112</v>
      </c>
      <c r="K38" s="12" t="b">
        <v>0</v>
      </c>
      <c r="L38" s="12">
        <v>1</v>
      </c>
      <c r="M38" s="8">
        <v>2014</v>
      </c>
      <c r="N38" s="9">
        <v>5.2400000000000002E-2</v>
      </c>
      <c r="O38" s="13">
        <v>41578</v>
      </c>
      <c r="P38" s="13">
        <v>41578</v>
      </c>
    </row>
    <row r="39" spans="1:16">
      <c r="A39" s="10">
        <v>2013</v>
      </c>
      <c r="B39" s="11" t="s">
        <v>466</v>
      </c>
      <c r="C39" s="11" t="s">
        <v>467</v>
      </c>
      <c r="D39" s="12">
        <v>1021011</v>
      </c>
      <c r="E39" s="12">
        <v>1</v>
      </c>
      <c r="F39" s="12"/>
      <c r="G39" s="12">
        <v>600</v>
      </c>
      <c r="H39" s="12">
        <v>11.3</v>
      </c>
      <c r="I39" s="12" t="s">
        <v>469</v>
      </c>
      <c r="J39" s="12" t="s">
        <v>126</v>
      </c>
      <c r="K39" s="12" t="b">
        <v>1</v>
      </c>
      <c r="L39" s="12">
        <v>0</v>
      </c>
      <c r="M39" s="8">
        <v>2013</v>
      </c>
      <c r="N39" s="9">
        <v>3754113.07</v>
      </c>
      <c r="O39" s="13">
        <v>41578</v>
      </c>
      <c r="P39" s="13">
        <v>41578</v>
      </c>
    </row>
    <row r="40" spans="1:16">
      <c r="A40" s="10">
        <v>2013</v>
      </c>
      <c r="B40" s="11" t="s">
        <v>466</v>
      </c>
      <c r="C40" s="11" t="s">
        <v>467</v>
      </c>
      <c r="D40" s="12">
        <v>1021011</v>
      </c>
      <c r="E40" s="12">
        <v>1</v>
      </c>
      <c r="F40" s="12"/>
      <c r="G40" s="12">
        <v>500</v>
      </c>
      <c r="H40" s="12">
        <v>9.6</v>
      </c>
      <c r="I40" s="12" t="s">
        <v>468</v>
      </c>
      <c r="J40" s="12" t="s">
        <v>112</v>
      </c>
      <c r="K40" s="12" t="b">
        <v>0</v>
      </c>
      <c r="L40" s="12">
        <v>7</v>
      </c>
      <c r="M40" s="8">
        <v>2020</v>
      </c>
      <c r="N40" s="9">
        <v>5.8400000000000001E-2</v>
      </c>
      <c r="O40" s="13">
        <v>41578</v>
      </c>
      <c r="P40" s="13">
        <v>41578</v>
      </c>
    </row>
    <row r="41" spans="1:16">
      <c r="A41" s="10">
        <v>2013</v>
      </c>
      <c r="B41" s="11" t="s">
        <v>466</v>
      </c>
      <c r="C41" s="11" t="s">
        <v>467</v>
      </c>
      <c r="D41" s="12">
        <v>1021011</v>
      </c>
      <c r="E41" s="12">
        <v>1</v>
      </c>
      <c r="F41" s="12"/>
      <c r="G41" s="12">
        <v>710</v>
      </c>
      <c r="H41" s="12" t="s">
        <v>141</v>
      </c>
      <c r="I41" s="12"/>
      <c r="J41" s="12" t="s">
        <v>142</v>
      </c>
      <c r="K41" s="12" t="b">
        <v>0</v>
      </c>
      <c r="L41" s="12">
        <v>0</v>
      </c>
      <c r="M41" s="8">
        <v>2013</v>
      </c>
      <c r="N41" s="9">
        <v>3052450.3</v>
      </c>
      <c r="O41" s="13">
        <v>41578</v>
      </c>
      <c r="P41" s="13">
        <v>41578</v>
      </c>
    </row>
    <row r="42" spans="1:16">
      <c r="A42" s="10">
        <v>2013</v>
      </c>
      <c r="B42" s="11" t="s">
        <v>466</v>
      </c>
      <c r="C42" s="11" t="s">
        <v>467</v>
      </c>
      <c r="D42" s="12">
        <v>1021011</v>
      </c>
      <c r="E42" s="12">
        <v>1</v>
      </c>
      <c r="F42" s="12"/>
      <c r="G42" s="12">
        <v>380</v>
      </c>
      <c r="H42" s="12">
        <v>6.2</v>
      </c>
      <c r="I42" s="12" t="s">
        <v>470</v>
      </c>
      <c r="J42" s="12" t="s">
        <v>103</v>
      </c>
      <c r="K42" s="12" t="b">
        <v>0</v>
      </c>
      <c r="L42" s="12">
        <v>1</v>
      </c>
      <c r="M42" s="8">
        <v>2014</v>
      </c>
      <c r="N42" s="9">
        <v>0.46239999999999998</v>
      </c>
      <c r="O42" s="13">
        <v>41578</v>
      </c>
      <c r="P42" s="13">
        <v>41578</v>
      </c>
    </row>
    <row r="43" spans="1:16">
      <c r="A43" s="10">
        <v>2013</v>
      </c>
      <c r="B43" s="11" t="s">
        <v>466</v>
      </c>
      <c r="C43" s="11" t="s">
        <v>467</v>
      </c>
      <c r="D43" s="12">
        <v>1021011</v>
      </c>
      <c r="E43" s="12">
        <v>1</v>
      </c>
      <c r="F43" s="12"/>
      <c r="G43" s="12">
        <v>380</v>
      </c>
      <c r="H43" s="12">
        <v>6.2</v>
      </c>
      <c r="I43" s="12" t="s">
        <v>470</v>
      </c>
      <c r="J43" s="12" t="s">
        <v>103</v>
      </c>
      <c r="K43" s="12" t="b">
        <v>0</v>
      </c>
      <c r="L43" s="12">
        <v>7</v>
      </c>
      <c r="M43" s="8">
        <v>2020</v>
      </c>
      <c r="N43" s="9">
        <v>0.1484</v>
      </c>
      <c r="O43" s="13">
        <v>41578</v>
      </c>
      <c r="P43" s="13">
        <v>41578</v>
      </c>
    </row>
    <row r="44" spans="1:16">
      <c r="A44" s="10">
        <v>2013</v>
      </c>
      <c r="B44" s="11" t="s">
        <v>466</v>
      </c>
      <c r="C44" s="11" t="s">
        <v>467</v>
      </c>
      <c r="D44" s="12">
        <v>1021011</v>
      </c>
      <c r="E44" s="12">
        <v>1</v>
      </c>
      <c r="F44" s="12"/>
      <c r="G44" s="12">
        <v>380</v>
      </c>
      <c r="H44" s="12">
        <v>6.2</v>
      </c>
      <c r="I44" s="12" t="s">
        <v>470</v>
      </c>
      <c r="J44" s="12" t="s">
        <v>103</v>
      </c>
      <c r="K44" s="12" t="b">
        <v>0</v>
      </c>
      <c r="L44" s="12">
        <v>4</v>
      </c>
      <c r="M44" s="8">
        <v>2017</v>
      </c>
      <c r="N44" s="9">
        <v>0.30840000000000001</v>
      </c>
      <c r="O44" s="13">
        <v>41578</v>
      </c>
      <c r="P44" s="13">
        <v>41578</v>
      </c>
    </row>
    <row r="45" spans="1:16">
      <c r="A45" s="10">
        <v>2013</v>
      </c>
      <c r="B45" s="11" t="s">
        <v>466</v>
      </c>
      <c r="C45" s="11" t="s">
        <v>467</v>
      </c>
      <c r="D45" s="12">
        <v>1021011</v>
      </c>
      <c r="E45" s="12">
        <v>1</v>
      </c>
      <c r="F45" s="12"/>
      <c r="G45" s="12">
        <v>380</v>
      </c>
      <c r="H45" s="12">
        <v>6.2</v>
      </c>
      <c r="I45" s="12" t="s">
        <v>470</v>
      </c>
      <c r="J45" s="12" t="s">
        <v>103</v>
      </c>
      <c r="K45" s="12" t="b">
        <v>0</v>
      </c>
      <c r="L45" s="12">
        <v>9</v>
      </c>
      <c r="M45" s="8">
        <v>2022</v>
      </c>
      <c r="N45" s="9">
        <v>4.9599999999999998E-2</v>
      </c>
      <c r="O45" s="13">
        <v>41578</v>
      </c>
      <c r="P45" s="13">
        <v>41578</v>
      </c>
    </row>
    <row r="46" spans="1:16">
      <c r="A46" s="10">
        <v>2013</v>
      </c>
      <c r="B46" s="11" t="s">
        <v>466</v>
      </c>
      <c r="C46" s="11" t="s">
        <v>467</v>
      </c>
      <c r="D46" s="12">
        <v>1021011</v>
      </c>
      <c r="E46" s="12">
        <v>1</v>
      </c>
      <c r="F46" s="12"/>
      <c r="G46" s="12">
        <v>380</v>
      </c>
      <c r="H46" s="12">
        <v>6.2</v>
      </c>
      <c r="I46" s="12" t="s">
        <v>470</v>
      </c>
      <c r="J46" s="12" t="s">
        <v>103</v>
      </c>
      <c r="K46" s="12" t="b">
        <v>0</v>
      </c>
      <c r="L46" s="12">
        <v>0</v>
      </c>
      <c r="M46" s="8">
        <v>2013</v>
      </c>
      <c r="N46" s="9">
        <v>0.41739999999999999</v>
      </c>
      <c r="O46" s="13">
        <v>41578</v>
      </c>
      <c r="P46" s="13">
        <v>41578</v>
      </c>
    </row>
    <row r="47" spans="1:16">
      <c r="A47" s="10">
        <v>2013</v>
      </c>
      <c r="B47" s="11" t="s">
        <v>466</v>
      </c>
      <c r="C47" s="11" t="s">
        <v>467</v>
      </c>
      <c r="D47" s="12">
        <v>1021011</v>
      </c>
      <c r="E47" s="12">
        <v>1</v>
      </c>
      <c r="F47" s="12"/>
      <c r="G47" s="12">
        <v>380</v>
      </c>
      <c r="H47" s="12">
        <v>6.2</v>
      </c>
      <c r="I47" s="12" t="s">
        <v>470</v>
      </c>
      <c r="J47" s="12" t="s">
        <v>103</v>
      </c>
      <c r="K47" s="12" t="b">
        <v>0</v>
      </c>
      <c r="L47" s="12">
        <v>8</v>
      </c>
      <c r="M47" s="8">
        <v>2021</v>
      </c>
      <c r="N47" s="9">
        <v>9.8799999999999999E-2</v>
      </c>
      <c r="O47" s="13">
        <v>41578</v>
      </c>
      <c r="P47" s="13">
        <v>41578</v>
      </c>
    </row>
    <row r="48" spans="1:16">
      <c r="A48" s="10">
        <v>2013</v>
      </c>
      <c r="B48" s="11" t="s">
        <v>466</v>
      </c>
      <c r="C48" s="11" t="s">
        <v>467</v>
      </c>
      <c r="D48" s="12">
        <v>1021011</v>
      </c>
      <c r="E48" s="12">
        <v>1</v>
      </c>
      <c r="F48" s="12"/>
      <c r="G48" s="12">
        <v>380</v>
      </c>
      <c r="H48" s="12">
        <v>6.2</v>
      </c>
      <c r="I48" s="12" t="s">
        <v>470</v>
      </c>
      <c r="J48" s="12" t="s">
        <v>103</v>
      </c>
      <c r="K48" s="12" t="b">
        <v>0</v>
      </c>
      <c r="L48" s="12">
        <v>3</v>
      </c>
      <c r="M48" s="8">
        <v>2016</v>
      </c>
      <c r="N48" s="9">
        <v>0.37409999999999999</v>
      </c>
      <c r="O48" s="13">
        <v>41578</v>
      </c>
      <c r="P48" s="13">
        <v>41578</v>
      </c>
    </row>
    <row r="49" spans="1:16">
      <c r="A49" s="10">
        <v>2013</v>
      </c>
      <c r="B49" s="11" t="s">
        <v>466</v>
      </c>
      <c r="C49" s="11" t="s">
        <v>467</v>
      </c>
      <c r="D49" s="12">
        <v>1021011</v>
      </c>
      <c r="E49" s="12">
        <v>1</v>
      </c>
      <c r="F49" s="12"/>
      <c r="G49" s="12">
        <v>380</v>
      </c>
      <c r="H49" s="12">
        <v>6.2</v>
      </c>
      <c r="I49" s="12" t="s">
        <v>470</v>
      </c>
      <c r="J49" s="12" t="s">
        <v>103</v>
      </c>
      <c r="K49" s="12" t="b">
        <v>0</v>
      </c>
      <c r="L49" s="12">
        <v>6</v>
      </c>
      <c r="M49" s="8">
        <v>2019</v>
      </c>
      <c r="N49" s="9">
        <v>0.19939999999999999</v>
      </c>
      <c r="O49" s="13">
        <v>41578</v>
      </c>
      <c r="P49" s="13">
        <v>41578</v>
      </c>
    </row>
    <row r="50" spans="1:16">
      <c r="A50" s="10">
        <v>2013</v>
      </c>
      <c r="B50" s="11" t="s">
        <v>466</v>
      </c>
      <c r="C50" s="11" t="s">
        <v>467</v>
      </c>
      <c r="D50" s="12">
        <v>1021011</v>
      </c>
      <c r="E50" s="12">
        <v>1</v>
      </c>
      <c r="F50" s="12"/>
      <c r="G50" s="12">
        <v>380</v>
      </c>
      <c r="H50" s="12">
        <v>6.2</v>
      </c>
      <c r="I50" s="12" t="s">
        <v>470</v>
      </c>
      <c r="J50" s="12" t="s">
        <v>103</v>
      </c>
      <c r="K50" s="12" t="b">
        <v>0</v>
      </c>
      <c r="L50" s="12">
        <v>2</v>
      </c>
      <c r="M50" s="8">
        <v>2015</v>
      </c>
      <c r="N50" s="9">
        <v>0.42380000000000001</v>
      </c>
      <c r="O50" s="13">
        <v>41578</v>
      </c>
      <c r="P50" s="13">
        <v>41578</v>
      </c>
    </row>
    <row r="51" spans="1:16">
      <c r="A51" s="10">
        <v>2013</v>
      </c>
      <c r="B51" s="11" t="s">
        <v>466</v>
      </c>
      <c r="C51" s="11" t="s">
        <v>467</v>
      </c>
      <c r="D51" s="12">
        <v>1021011</v>
      </c>
      <c r="E51" s="12">
        <v>1</v>
      </c>
      <c r="F51" s="12"/>
      <c r="G51" s="12">
        <v>380</v>
      </c>
      <c r="H51" s="12">
        <v>6.2</v>
      </c>
      <c r="I51" s="12" t="s">
        <v>470</v>
      </c>
      <c r="J51" s="12" t="s">
        <v>103</v>
      </c>
      <c r="K51" s="12" t="b">
        <v>0</v>
      </c>
      <c r="L51" s="12">
        <v>5</v>
      </c>
      <c r="M51" s="8">
        <v>2018</v>
      </c>
      <c r="N51" s="9">
        <v>0.252</v>
      </c>
      <c r="O51" s="13">
        <v>41578</v>
      </c>
      <c r="P51" s="13">
        <v>41578</v>
      </c>
    </row>
    <row r="52" spans="1:16">
      <c r="A52" s="10">
        <v>2013</v>
      </c>
      <c r="B52" s="11" t="s">
        <v>466</v>
      </c>
      <c r="C52" s="11" t="s">
        <v>467</v>
      </c>
      <c r="D52" s="12">
        <v>1021011</v>
      </c>
      <c r="E52" s="12">
        <v>1</v>
      </c>
      <c r="F52" s="12"/>
      <c r="G52" s="12">
        <v>20</v>
      </c>
      <c r="H52" s="12">
        <v>1.1000000000000001</v>
      </c>
      <c r="I52" s="12"/>
      <c r="J52" s="12" t="s">
        <v>53</v>
      </c>
      <c r="K52" s="12" t="b">
        <v>1</v>
      </c>
      <c r="L52" s="12">
        <v>6</v>
      </c>
      <c r="M52" s="8">
        <v>2019</v>
      </c>
      <c r="N52" s="9">
        <v>33000000</v>
      </c>
      <c r="O52" s="13">
        <v>41578</v>
      </c>
      <c r="P52" s="13">
        <v>41578</v>
      </c>
    </row>
    <row r="53" spans="1:16">
      <c r="A53" s="10">
        <v>2013</v>
      </c>
      <c r="B53" s="11" t="s">
        <v>466</v>
      </c>
      <c r="C53" s="11" t="s">
        <v>467</v>
      </c>
      <c r="D53" s="12">
        <v>1021011</v>
      </c>
      <c r="E53" s="12">
        <v>1</v>
      </c>
      <c r="F53" s="12"/>
      <c r="G53" s="12">
        <v>20</v>
      </c>
      <c r="H53" s="12">
        <v>1.1000000000000001</v>
      </c>
      <c r="I53" s="12"/>
      <c r="J53" s="12" t="s">
        <v>53</v>
      </c>
      <c r="K53" s="12" t="b">
        <v>1</v>
      </c>
      <c r="L53" s="12">
        <v>3</v>
      </c>
      <c r="M53" s="8">
        <v>2016</v>
      </c>
      <c r="N53" s="9">
        <v>31500000</v>
      </c>
      <c r="O53" s="13">
        <v>41578</v>
      </c>
      <c r="P53" s="13">
        <v>41578</v>
      </c>
    </row>
    <row r="54" spans="1:16">
      <c r="A54" s="10">
        <v>2013</v>
      </c>
      <c r="B54" s="11" t="s">
        <v>466</v>
      </c>
      <c r="C54" s="11" t="s">
        <v>467</v>
      </c>
      <c r="D54" s="12">
        <v>1021011</v>
      </c>
      <c r="E54" s="12">
        <v>1</v>
      </c>
      <c r="F54" s="12"/>
      <c r="G54" s="12">
        <v>20</v>
      </c>
      <c r="H54" s="12">
        <v>1.1000000000000001</v>
      </c>
      <c r="I54" s="12"/>
      <c r="J54" s="12" t="s">
        <v>53</v>
      </c>
      <c r="K54" s="12" t="b">
        <v>1</v>
      </c>
      <c r="L54" s="12">
        <v>0</v>
      </c>
      <c r="M54" s="8">
        <v>2013</v>
      </c>
      <c r="N54" s="9">
        <v>32469863.809999999</v>
      </c>
      <c r="O54" s="13">
        <v>41578</v>
      </c>
      <c r="P54" s="13">
        <v>41578</v>
      </c>
    </row>
    <row r="55" spans="1:16">
      <c r="A55" s="10">
        <v>2013</v>
      </c>
      <c r="B55" s="11" t="s">
        <v>466</v>
      </c>
      <c r="C55" s="11" t="s">
        <v>467</v>
      </c>
      <c r="D55" s="12">
        <v>1021011</v>
      </c>
      <c r="E55" s="12">
        <v>1</v>
      </c>
      <c r="F55" s="12"/>
      <c r="G55" s="12">
        <v>20</v>
      </c>
      <c r="H55" s="12">
        <v>1.1000000000000001</v>
      </c>
      <c r="I55" s="12"/>
      <c r="J55" s="12" t="s">
        <v>53</v>
      </c>
      <c r="K55" s="12" t="b">
        <v>1</v>
      </c>
      <c r="L55" s="12">
        <v>8</v>
      </c>
      <c r="M55" s="8">
        <v>2021</v>
      </c>
      <c r="N55" s="9">
        <v>34000000</v>
      </c>
      <c r="O55" s="13">
        <v>41578</v>
      </c>
      <c r="P55" s="13">
        <v>41578</v>
      </c>
    </row>
    <row r="56" spans="1:16">
      <c r="A56" s="10">
        <v>2013</v>
      </c>
      <c r="B56" s="11" t="s">
        <v>466</v>
      </c>
      <c r="C56" s="11" t="s">
        <v>467</v>
      </c>
      <c r="D56" s="12">
        <v>1021011</v>
      </c>
      <c r="E56" s="12">
        <v>1</v>
      </c>
      <c r="F56" s="12"/>
      <c r="G56" s="12">
        <v>20</v>
      </c>
      <c r="H56" s="12">
        <v>1.1000000000000001</v>
      </c>
      <c r="I56" s="12"/>
      <c r="J56" s="12" t="s">
        <v>53</v>
      </c>
      <c r="K56" s="12" t="b">
        <v>1</v>
      </c>
      <c r="L56" s="12">
        <v>2</v>
      </c>
      <c r="M56" s="8">
        <v>2015</v>
      </c>
      <c r="N56" s="9">
        <v>31500000</v>
      </c>
      <c r="O56" s="13">
        <v>41578</v>
      </c>
      <c r="P56" s="13">
        <v>41578</v>
      </c>
    </row>
    <row r="57" spans="1:16">
      <c r="A57" s="10">
        <v>2013</v>
      </c>
      <c r="B57" s="11" t="s">
        <v>466</v>
      </c>
      <c r="C57" s="11" t="s">
        <v>467</v>
      </c>
      <c r="D57" s="12">
        <v>1021011</v>
      </c>
      <c r="E57" s="12">
        <v>1</v>
      </c>
      <c r="F57" s="12"/>
      <c r="G57" s="12">
        <v>20</v>
      </c>
      <c r="H57" s="12">
        <v>1.1000000000000001</v>
      </c>
      <c r="I57" s="12"/>
      <c r="J57" s="12" t="s">
        <v>53</v>
      </c>
      <c r="K57" s="12" t="b">
        <v>1</v>
      </c>
      <c r="L57" s="12">
        <v>9</v>
      </c>
      <c r="M57" s="8">
        <v>2022</v>
      </c>
      <c r="N57" s="9">
        <v>34500000</v>
      </c>
      <c r="O57" s="13">
        <v>41578</v>
      </c>
      <c r="P57" s="13">
        <v>41578</v>
      </c>
    </row>
    <row r="58" spans="1:16">
      <c r="A58" s="10">
        <v>2013</v>
      </c>
      <c r="B58" s="11" t="s">
        <v>466</v>
      </c>
      <c r="C58" s="11" t="s">
        <v>467</v>
      </c>
      <c r="D58" s="12">
        <v>1021011</v>
      </c>
      <c r="E58" s="12">
        <v>1</v>
      </c>
      <c r="F58" s="12"/>
      <c r="G58" s="12">
        <v>20</v>
      </c>
      <c r="H58" s="12">
        <v>1.1000000000000001</v>
      </c>
      <c r="I58" s="12"/>
      <c r="J58" s="12" t="s">
        <v>53</v>
      </c>
      <c r="K58" s="12" t="b">
        <v>1</v>
      </c>
      <c r="L58" s="12">
        <v>1</v>
      </c>
      <c r="M58" s="8">
        <v>2014</v>
      </c>
      <c r="N58" s="9">
        <v>31500000.710000001</v>
      </c>
      <c r="O58" s="13">
        <v>41578</v>
      </c>
      <c r="P58" s="13">
        <v>41578</v>
      </c>
    </row>
    <row r="59" spans="1:16">
      <c r="A59" s="10">
        <v>2013</v>
      </c>
      <c r="B59" s="11" t="s">
        <v>466</v>
      </c>
      <c r="C59" s="11" t="s">
        <v>467</v>
      </c>
      <c r="D59" s="12">
        <v>1021011</v>
      </c>
      <c r="E59" s="12">
        <v>1</v>
      </c>
      <c r="F59" s="12"/>
      <c r="G59" s="12">
        <v>20</v>
      </c>
      <c r="H59" s="12">
        <v>1.1000000000000001</v>
      </c>
      <c r="I59" s="12"/>
      <c r="J59" s="12" t="s">
        <v>53</v>
      </c>
      <c r="K59" s="12" t="b">
        <v>1</v>
      </c>
      <c r="L59" s="12">
        <v>5</v>
      </c>
      <c r="M59" s="8">
        <v>2018</v>
      </c>
      <c r="N59" s="9">
        <v>32500000</v>
      </c>
      <c r="O59" s="13">
        <v>41578</v>
      </c>
      <c r="P59" s="13">
        <v>41578</v>
      </c>
    </row>
    <row r="60" spans="1:16">
      <c r="A60" s="10">
        <v>2013</v>
      </c>
      <c r="B60" s="11" t="s">
        <v>466</v>
      </c>
      <c r="C60" s="11" t="s">
        <v>467</v>
      </c>
      <c r="D60" s="12">
        <v>1021011</v>
      </c>
      <c r="E60" s="12">
        <v>1</v>
      </c>
      <c r="F60" s="12"/>
      <c r="G60" s="12">
        <v>20</v>
      </c>
      <c r="H60" s="12">
        <v>1.1000000000000001</v>
      </c>
      <c r="I60" s="12"/>
      <c r="J60" s="12" t="s">
        <v>53</v>
      </c>
      <c r="K60" s="12" t="b">
        <v>1</v>
      </c>
      <c r="L60" s="12">
        <v>4</v>
      </c>
      <c r="M60" s="8">
        <v>2017</v>
      </c>
      <c r="N60" s="9">
        <v>32000000</v>
      </c>
      <c r="O60" s="13">
        <v>41578</v>
      </c>
      <c r="P60" s="13">
        <v>41578</v>
      </c>
    </row>
    <row r="61" spans="1:16">
      <c r="A61" s="10">
        <v>2013</v>
      </c>
      <c r="B61" s="11" t="s">
        <v>466</v>
      </c>
      <c r="C61" s="11" t="s">
        <v>467</v>
      </c>
      <c r="D61" s="12">
        <v>1021011</v>
      </c>
      <c r="E61" s="12">
        <v>1</v>
      </c>
      <c r="F61" s="12"/>
      <c r="G61" s="12">
        <v>20</v>
      </c>
      <c r="H61" s="12">
        <v>1.1000000000000001</v>
      </c>
      <c r="I61" s="12"/>
      <c r="J61" s="12" t="s">
        <v>53</v>
      </c>
      <c r="K61" s="12" t="b">
        <v>1</v>
      </c>
      <c r="L61" s="12">
        <v>7</v>
      </c>
      <c r="M61" s="8">
        <v>2020</v>
      </c>
      <c r="N61" s="9">
        <v>33500000</v>
      </c>
      <c r="O61" s="13">
        <v>41578</v>
      </c>
      <c r="P61" s="13">
        <v>41578</v>
      </c>
    </row>
    <row r="62" spans="1:16">
      <c r="A62" s="10">
        <v>2013</v>
      </c>
      <c r="B62" s="11" t="s">
        <v>466</v>
      </c>
      <c r="C62" s="11" t="s">
        <v>467</v>
      </c>
      <c r="D62" s="12">
        <v>1021011</v>
      </c>
      <c r="E62" s="12">
        <v>1</v>
      </c>
      <c r="F62" s="12"/>
      <c r="G62" s="12">
        <v>20</v>
      </c>
      <c r="H62" s="12">
        <v>1.1000000000000001</v>
      </c>
      <c r="I62" s="12"/>
      <c r="J62" s="12" t="s">
        <v>53</v>
      </c>
      <c r="K62" s="12" t="b">
        <v>1</v>
      </c>
      <c r="L62" s="12">
        <v>10</v>
      </c>
      <c r="M62" s="8">
        <v>2023</v>
      </c>
      <c r="N62" s="9">
        <v>35000000</v>
      </c>
      <c r="O62" s="13">
        <v>41578</v>
      </c>
      <c r="P62" s="13">
        <v>41578</v>
      </c>
    </row>
    <row r="63" spans="1:16">
      <c r="A63" s="10">
        <v>2013</v>
      </c>
      <c r="B63" s="11" t="s">
        <v>466</v>
      </c>
      <c r="C63" s="11" t="s">
        <v>467</v>
      </c>
      <c r="D63" s="12">
        <v>1021011</v>
      </c>
      <c r="E63" s="12">
        <v>1</v>
      </c>
      <c r="F63" s="12"/>
      <c r="G63" s="12">
        <v>770</v>
      </c>
      <c r="H63" s="12" t="s">
        <v>151</v>
      </c>
      <c r="I63" s="12"/>
      <c r="J63" s="12" t="s">
        <v>152</v>
      </c>
      <c r="K63" s="12" t="b">
        <v>1</v>
      </c>
      <c r="L63" s="12">
        <v>0</v>
      </c>
      <c r="M63" s="8">
        <v>2013</v>
      </c>
      <c r="N63" s="9">
        <v>529995.71</v>
      </c>
      <c r="O63" s="13">
        <v>41578</v>
      </c>
      <c r="P63" s="13">
        <v>41578</v>
      </c>
    </row>
    <row r="64" spans="1:16">
      <c r="A64" s="10">
        <v>2013</v>
      </c>
      <c r="B64" s="11" t="s">
        <v>466</v>
      </c>
      <c r="C64" s="11" t="s">
        <v>467</v>
      </c>
      <c r="D64" s="12">
        <v>1021011</v>
      </c>
      <c r="E64" s="12">
        <v>1</v>
      </c>
      <c r="F64" s="12"/>
      <c r="G64" s="12">
        <v>600</v>
      </c>
      <c r="H64" s="12">
        <v>11.3</v>
      </c>
      <c r="I64" s="12" t="s">
        <v>469</v>
      </c>
      <c r="J64" s="12" t="s">
        <v>126</v>
      </c>
      <c r="K64" s="12" t="b">
        <v>1</v>
      </c>
      <c r="L64" s="12">
        <v>5</v>
      </c>
      <c r="M64" s="8">
        <v>2018</v>
      </c>
      <c r="N64" s="9">
        <v>56</v>
      </c>
      <c r="O64" s="13">
        <v>41578</v>
      </c>
      <c r="P64" s="13">
        <v>41578</v>
      </c>
    </row>
    <row r="65" spans="1:16">
      <c r="A65" s="10">
        <v>2013</v>
      </c>
      <c r="B65" s="11" t="s">
        <v>466</v>
      </c>
      <c r="C65" s="11" t="s">
        <v>467</v>
      </c>
      <c r="D65" s="12">
        <v>1021011</v>
      </c>
      <c r="E65" s="12">
        <v>1</v>
      </c>
      <c r="F65" s="12"/>
      <c r="G65" s="12">
        <v>600</v>
      </c>
      <c r="H65" s="12">
        <v>11.3</v>
      </c>
      <c r="I65" s="12" t="s">
        <v>469</v>
      </c>
      <c r="J65" s="12" t="s">
        <v>126</v>
      </c>
      <c r="K65" s="12" t="b">
        <v>1</v>
      </c>
      <c r="L65" s="12">
        <v>4</v>
      </c>
      <c r="M65" s="8">
        <v>2017</v>
      </c>
      <c r="N65" s="9">
        <v>56</v>
      </c>
      <c r="O65" s="13">
        <v>41578</v>
      </c>
      <c r="P65" s="13">
        <v>41578</v>
      </c>
    </row>
    <row r="66" spans="1:16">
      <c r="A66" s="10">
        <v>2013</v>
      </c>
      <c r="B66" s="11" t="s">
        <v>466</v>
      </c>
      <c r="C66" s="11" t="s">
        <v>467</v>
      </c>
      <c r="D66" s="12">
        <v>1021011</v>
      </c>
      <c r="E66" s="12">
        <v>1</v>
      </c>
      <c r="F66" s="12"/>
      <c r="G66" s="12">
        <v>600</v>
      </c>
      <c r="H66" s="12">
        <v>11.3</v>
      </c>
      <c r="I66" s="12" t="s">
        <v>469</v>
      </c>
      <c r="J66" s="12" t="s">
        <v>126</v>
      </c>
      <c r="K66" s="12" t="b">
        <v>1</v>
      </c>
      <c r="L66" s="12">
        <v>6</v>
      </c>
      <c r="M66" s="8">
        <v>2019</v>
      </c>
      <c r="N66" s="9">
        <v>56</v>
      </c>
      <c r="O66" s="13">
        <v>41578</v>
      </c>
      <c r="P66" s="13">
        <v>41578</v>
      </c>
    </row>
    <row r="67" spans="1:16">
      <c r="A67" s="10">
        <v>2013</v>
      </c>
      <c r="B67" s="11" t="s">
        <v>466</v>
      </c>
      <c r="C67" s="11" t="s">
        <v>467</v>
      </c>
      <c r="D67" s="12">
        <v>1021011</v>
      </c>
      <c r="E67" s="12">
        <v>1</v>
      </c>
      <c r="F67" s="12"/>
      <c r="G67" s="12">
        <v>600</v>
      </c>
      <c r="H67" s="12">
        <v>11.3</v>
      </c>
      <c r="I67" s="12" t="s">
        <v>469</v>
      </c>
      <c r="J67" s="12" t="s">
        <v>126</v>
      </c>
      <c r="K67" s="12" t="b">
        <v>1</v>
      </c>
      <c r="L67" s="12">
        <v>3</v>
      </c>
      <c r="M67" s="8">
        <v>2016</v>
      </c>
      <c r="N67" s="9">
        <v>56</v>
      </c>
      <c r="O67" s="13">
        <v>41578</v>
      </c>
      <c r="P67" s="13">
        <v>41578</v>
      </c>
    </row>
    <row r="68" spans="1:16">
      <c r="A68" s="10">
        <v>2013</v>
      </c>
      <c r="B68" s="11" t="s">
        <v>466</v>
      </c>
      <c r="C68" s="11" t="s">
        <v>467</v>
      </c>
      <c r="D68" s="12">
        <v>1021011</v>
      </c>
      <c r="E68" s="12">
        <v>1</v>
      </c>
      <c r="F68" s="12"/>
      <c r="G68" s="12">
        <v>600</v>
      </c>
      <c r="H68" s="12">
        <v>11.3</v>
      </c>
      <c r="I68" s="12" t="s">
        <v>469</v>
      </c>
      <c r="J68" s="12" t="s">
        <v>126</v>
      </c>
      <c r="K68" s="12" t="b">
        <v>1</v>
      </c>
      <c r="L68" s="12">
        <v>7</v>
      </c>
      <c r="M68" s="8">
        <v>2020</v>
      </c>
      <c r="N68" s="9">
        <v>20</v>
      </c>
      <c r="O68" s="13">
        <v>41578</v>
      </c>
      <c r="P68" s="13">
        <v>41578</v>
      </c>
    </row>
    <row r="69" spans="1:16">
      <c r="A69" s="10">
        <v>2013</v>
      </c>
      <c r="B69" s="11" t="s">
        <v>466</v>
      </c>
      <c r="C69" s="11" t="s">
        <v>467</v>
      </c>
      <c r="D69" s="12">
        <v>1021011</v>
      </c>
      <c r="E69" s="12">
        <v>1</v>
      </c>
      <c r="F69" s="12"/>
      <c r="G69" s="12">
        <v>600</v>
      </c>
      <c r="H69" s="12">
        <v>11.3</v>
      </c>
      <c r="I69" s="12" t="s">
        <v>469</v>
      </c>
      <c r="J69" s="12" t="s">
        <v>126</v>
      </c>
      <c r="K69" s="12" t="b">
        <v>1</v>
      </c>
      <c r="L69" s="12">
        <v>2</v>
      </c>
      <c r="M69" s="8">
        <v>2015</v>
      </c>
      <c r="N69" s="9">
        <v>449902.82</v>
      </c>
      <c r="O69" s="13">
        <v>41578</v>
      </c>
      <c r="P69" s="13">
        <v>41578</v>
      </c>
    </row>
    <row r="70" spans="1:16">
      <c r="A70" s="10">
        <v>2013</v>
      </c>
      <c r="B70" s="11" t="s">
        <v>466</v>
      </c>
      <c r="C70" s="11" t="s">
        <v>467</v>
      </c>
      <c r="D70" s="12">
        <v>1021011</v>
      </c>
      <c r="E70" s="12">
        <v>1</v>
      </c>
      <c r="F70" s="12"/>
      <c r="G70" s="12">
        <v>10</v>
      </c>
      <c r="H70" s="12">
        <v>1</v>
      </c>
      <c r="I70" s="12" t="s">
        <v>471</v>
      </c>
      <c r="J70" s="12" t="s">
        <v>39</v>
      </c>
      <c r="K70" s="12" t="b">
        <v>1</v>
      </c>
      <c r="L70" s="12">
        <v>7</v>
      </c>
      <c r="M70" s="8">
        <v>2020</v>
      </c>
      <c r="N70" s="9">
        <v>33500000</v>
      </c>
      <c r="O70" s="13">
        <v>41578</v>
      </c>
      <c r="P70" s="13">
        <v>41578</v>
      </c>
    </row>
    <row r="71" spans="1:16">
      <c r="A71" s="10">
        <v>2013</v>
      </c>
      <c r="B71" s="11" t="s">
        <v>466</v>
      </c>
      <c r="C71" s="11" t="s">
        <v>467</v>
      </c>
      <c r="D71" s="12">
        <v>1021011</v>
      </c>
      <c r="E71" s="12">
        <v>1</v>
      </c>
      <c r="F71" s="12"/>
      <c r="G71" s="12">
        <v>10</v>
      </c>
      <c r="H71" s="12">
        <v>1</v>
      </c>
      <c r="I71" s="12" t="s">
        <v>471</v>
      </c>
      <c r="J71" s="12" t="s">
        <v>39</v>
      </c>
      <c r="K71" s="12" t="b">
        <v>1</v>
      </c>
      <c r="L71" s="12">
        <v>3</v>
      </c>
      <c r="M71" s="8">
        <v>2016</v>
      </c>
      <c r="N71" s="9">
        <v>31500000</v>
      </c>
      <c r="O71" s="13">
        <v>41578</v>
      </c>
      <c r="P71" s="13">
        <v>41578</v>
      </c>
    </row>
    <row r="72" spans="1:16">
      <c r="A72" s="10">
        <v>2013</v>
      </c>
      <c r="B72" s="11" t="s">
        <v>466</v>
      </c>
      <c r="C72" s="11" t="s">
        <v>467</v>
      </c>
      <c r="D72" s="12">
        <v>1021011</v>
      </c>
      <c r="E72" s="12">
        <v>1</v>
      </c>
      <c r="F72" s="12"/>
      <c r="G72" s="12">
        <v>10</v>
      </c>
      <c r="H72" s="12">
        <v>1</v>
      </c>
      <c r="I72" s="12" t="s">
        <v>471</v>
      </c>
      <c r="J72" s="12" t="s">
        <v>39</v>
      </c>
      <c r="K72" s="12" t="b">
        <v>1</v>
      </c>
      <c r="L72" s="12">
        <v>4</v>
      </c>
      <c r="M72" s="8">
        <v>2017</v>
      </c>
      <c r="N72" s="9">
        <v>32000000</v>
      </c>
      <c r="O72" s="13">
        <v>41578</v>
      </c>
      <c r="P72" s="13">
        <v>41578</v>
      </c>
    </row>
    <row r="73" spans="1:16">
      <c r="A73" s="10">
        <v>2013</v>
      </c>
      <c r="B73" s="11" t="s">
        <v>466</v>
      </c>
      <c r="C73" s="11" t="s">
        <v>467</v>
      </c>
      <c r="D73" s="12">
        <v>1021011</v>
      </c>
      <c r="E73" s="12">
        <v>1</v>
      </c>
      <c r="F73" s="12"/>
      <c r="G73" s="12">
        <v>10</v>
      </c>
      <c r="H73" s="12">
        <v>1</v>
      </c>
      <c r="I73" s="12" t="s">
        <v>471</v>
      </c>
      <c r="J73" s="12" t="s">
        <v>39</v>
      </c>
      <c r="K73" s="12" t="b">
        <v>1</v>
      </c>
      <c r="L73" s="12">
        <v>2</v>
      </c>
      <c r="M73" s="8">
        <v>2015</v>
      </c>
      <c r="N73" s="9">
        <v>31500000</v>
      </c>
      <c r="O73" s="13">
        <v>41578</v>
      </c>
      <c r="P73" s="13">
        <v>41578</v>
      </c>
    </row>
    <row r="74" spans="1:16">
      <c r="A74" s="10">
        <v>2013</v>
      </c>
      <c r="B74" s="11" t="s">
        <v>466</v>
      </c>
      <c r="C74" s="11" t="s">
        <v>467</v>
      </c>
      <c r="D74" s="12">
        <v>1021011</v>
      </c>
      <c r="E74" s="12">
        <v>1</v>
      </c>
      <c r="F74" s="12"/>
      <c r="G74" s="12">
        <v>10</v>
      </c>
      <c r="H74" s="12">
        <v>1</v>
      </c>
      <c r="I74" s="12" t="s">
        <v>471</v>
      </c>
      <c r="J74" s="12" t="s">
        <v>39</v>
      </c>
      <c r="K74" s="12" t="b">
        <v>1</v>
      </c>
      <c r="L74" s="12">
        <v>10</v>
      </c>
      <c r="M74" s="8">
        <v>2023</v>
      </c>
      <c r="N74" s="9">
        <v>35000000</v>
      </c>
      <c r="O74" s="13">
        <v>41578</v>
      </c>
      <c r="P74" s="13">
        <v>41578</v>
      </c>
    </row>
    <row r="75" spans="1:16">
      <c r="A75" s="10">
        <v>2013</v>
      </c>
      <c r="B75" s="11" t="s">
        <v>466</v>
      </c>
      <c r="C75" s="11" t="s">
        <v>467</v>
      </c>
      <c r="D75" s="12">
        <v>1021011</v>
      </c>
      <c r="E75" s="12">
        <v>1</v>
      </c>
      <c r="F75" s="12"/>
      <c r="G75" s="12">
        <v>10</v>
      </c>
      <c r="H75" s="12">
        <v>1</v>
      </c>
      <c r="I75" s="12" t="s">
        <v>471</v>
      </c>
      <c r="J75" s="12" t="s">
        <v>39</v>
      </c>
      <c r="K75" s="12" t="b">
        <v>1</v>
      </c>
      <c r="L75" s="12">
        <v>0</v>
      </c>
      <c r="M75" s="8">
        <v>2013</v>
      </c>
      <c r="N75" s="9">
        <v>37144207.170000002</v>
      </c>
      <c r="O75" s="13">
        <v>41578</v>
      </c>
      <c r="P75" s="13">
        <v>41578</v>
      </c>
    </row>
    <row r="76" spans="1:16">
      <c r="A76" s="10">
        <v>2013</v>
      </c>
      <c r="B76" s="11" t="s">
        <v>466</v>
      </c>
      <c r="C76" s="11" t="s">
        <v>467</v>
      </c>
      <c r="D76" s="12">
        <v>1021011</v>
      </c>
      <c r="E76" s="12">
        <v>1</v>
      </c>
      <c r="F76" s="12"/>
      <c r="G76" s="12">
        <v>10</v>
      </c>
      <c r="H76" s="12">
        <v>1</v>
      </c>
      <c r="I76" s="12" t="s">
        <v>471</v>
      </c>
      <c r="J76" s="12" t="s">
        <v>39</v>
      </c>
      <c r="K76" s="12" t="b">
        <v>1</v>
      </c>
      <c r="L76" s="12">
        <v>6</v>
      </c>
      <c r="M76" s="8">
        <v>2019</v>
      </c>
      <c r="N76" s="9">
        <v>33000000</v>
      </c>
      <c r="O76" s="13">
        <v>41578</v>
      </c>
      <c r="P76" s="13">
        <v>41578</v>
      </c>
    </row>
    <row r="77" spans="1:16">
      <c r="A77" s="10">
        <v>2013</v>
      </c>
      <c r="B77" s="11" t="s">
        <v>466</v>
      </c>
      <c r="C77" s="11" t="s">
        <v>467</v>
      </c>
      <c r="D77" s="12">
        <v>1021011</v>
      </c>
      <c r="E77" s="12">
        <v>1</v>
      </c>
      <c r="F77" s="12"/>
      <c r="G77" s="12">
        <v>10</v>
      </c>
      <c r="H77" s="12">
        <v>1</v>
      </c>
      <c r="I77" s="12" t="s">
        <v>471</v>
      </c>
      <c r="J77" s="12" t="s">
        <v>39</v>
      </c>
      <c r="K77" s="12" t="b">
        <v>1</v>
      </c>
      <c r="L77" s="12">
        <v>5</v>
      </c>
      <c r="M77" s="8">
        <v>2018</v>
      </c>
      <c r="N77" s="9">
        <v>32500000</v>
      </c>
      <c r="O77" s="13">
        <v>41578</v>
      </c>
      <c r="P77" s="13">
        <v>41578</v>
      </c>
    </row>
    <row r="78" spans="1:16">
      <c r="A78" s="10">
        <v>2013</v>
      </c>
      <c r="B78" s="11" t="s">
        <v>466</v>
      </c>
      <c r="C78" s="11" t="s">
        <v>467</v>
      </c>
      <c r="D78" s="12">
        <v>1021011</v>
      </c>
      <c r="E78" s="12">
        <v>1</v>
      </c>
      <c r="F78" s="12"/>
      <c r="G78" s="12">
        <v>10</v>
      </c>
      <c r="H78" s="12">
        <v>1</v>
      </c>
      <c r="I78" s="12" t="s">
        <v>471</v>
      </c>
      <c r="J78" s="12" t="s">
        <v>39</v>
      </c>
      <c r="K78" s="12" t="b">
        <v>1</v>
      </c>
      <c r="L78" s="12">
        <v>1</v>
      </c>
      <c r="M78" s="8">
        <v>2014</v>
      </c>
      <c r="N78" s="9">
        <v>31500000.710000001</v>
      </c>
      <c r="O78" s="13">
        <v>41578</v>
      </c>
      <c r="P78" s="13">
        <v>41578</v>
      </c>
    </row>
    <row r="79" spans="1:16">
      <c r="A79" s="10">
        <v>2013</v>
      </c>
      <c r="B79" s="11" t="s">
        <v>466</v>
      </c>
      <c r="C79" s="11" t="s">
        <v>467</v>
      </c>
      <c r="D79" s="12">
        <v>1021011</v>
      </c>
      <c r="E79" s="12">
        <v>1</v>
      </c>
      <c r="F79" s="12"/>
      <c r="G79" s="12">
        <v>10</v>
      </c>
      <c r="H79" s="12">
        <v>1</v>
      </c>
      <c r="I79" s="12" t="s">
        <v>471</v>
      </c>
      <c r="J79" s="12" t="s">
        <v>39</v>
      </c>
      <c r="K79" s="12" t="b">
        <v>1</v>
      </c>
      <c r="L79" s="12">
        <v>8</v>
      </c>
      <c r="M79" s="8">
        <v>2021</v>
      </c>
      <c r="N79" s="9">
        <v>34000000</v>
      </c>
      <c r="O79" s="13">
        <v>41578</v>
      </c>
      <c r="P79" s="13">
        <v>41578</v>
      </c>
    </row>
    <row r="80" spans="1:16">
      <c r="A80" s="10">
        <v>2013</v>
      </c>
      <c r="B80" s="11" t="s">
        <v>466</v>
      </c>
      <c r="C80" s="11" t="s">
        <v>467</v>
      </c>
      <c r="D80" s="12">
        <v>1021011</v>
      </c>
      <c r="E80" s="12">
        <v>1</v>
      </c>
      <c r="F80" s="12"/>
      <c r="G80" s="12">
        <v>10</v>
      </c>
      <c r="H80" s="12">
        <v>1</v>
      </c>
      <c r="I80" s="12" t="s">
        <v>471</v>
      </c>
      <c r="J80" s="12" t="s">
        <v>39</v>
      </c>
      <c r="K80" s="12" t="b">
        <v>1</v>
      </c>
      <c r="L80" s="12">
        <v>9</v>
      </c>
      <c r="M80" s="8">
        <v>2022</v>
      </c>
      <c r="N80" s="9">
        <v>34500000</v>
      </c>
      <c r="O80" s="13">
        <v>41578</v>
      </c>
      <c r="P80" s="13">
        <v>41578</v>
      </c>
    </row>
    <row r="81" spans="1:16">
      <c r="A81" s="10">
        <v>2013</v>
      </c>
      <c r="B81" s="11" t="s">
        <v>466</v>
      </c>
      <c r="C81" s="11" t="s">
        <v>467</v>
      </c>
      <c r="D81" s="12">
        <v>1021011</v>
      </c>
      <c r="E81" s="12">
        <v>1</v>
      </c>
      <c r="F81" s="12"/>
      <c r="G81" s="12">
        <v>590</v>
      </c>
      <c r="H81" s="12">
        <v>11.2</v>
      </c>
      <c r="I81" s="12"/>
      <c r="J81" s="12" t="s">
        <v>125</v>
      </c>
      <c r="K81" s="12" t="b">
        <v>1</v>
      </c>
      <c r="L81" s="12">
        <v>5</v>
      </c>
      <c r="M81" s="8">
        <v>2018</v>
      </c>
      <c r="N81" s="9">
        <v>3400000</v>
      </c>
      <c r="O81" s="13">
        <v>41578</v>
      </c>
      <c r="P81" s="13">
        <v>41578</v>
      </c>
    </row>
    <row r="82" spans="1:16">
      <c r="A82" s="10">
        <v>2013</v>
      </c>
      <c r="B82" s="11" t="s">
        <v>466</v>
      </c>
      <c r="C82" s="11" t="s">
        <v>467</v>
      </c>
      <c r="D82" s="12">
        <v>1021011</v>
      </c>
      <c r="E82" s="12">
        <v>1</v>
      </c>
      <c r="F82" s="12"/>
      <c r="G82" s="12">
        <v>590</v>
      </c>
      <c r="H82" s="12">
        <v>11.2</v>
      </c>
      <c r="I82" s="12"/>
      <c r="J82" s="12" t="s">
        <v>125</v>
      </c>
      <c r="K82" s="12" t="b">
        <v>1</v>
      </c>
      <c r="L82" s="12">
        <v>3</v>
      </c>
      <c r="M82" s="8">
        <v>2016</v>
      </c>
      <c r="N82" s="9">
        <v>3200000</v>
      </c>
      <c r="O82" s="13">
        <v>41578</v>
      </c>
      <c r="P82" s="13">
        <v>41578</v>
      </c>
    </row>
    <row r="83" spans="1:16">
      <c r="A83" s="10">
        <v>2013</v>
      </c>
      <c r="B83" s="11" t="s">
        <v>466</v>
      </c>
      <c r="C83" s="11" t="s">
        <v>467</v>
      </c>
      <c r="D83" s="12">
        <v>1021011</v>
      </c>
      <c r="E83" s="12">
        <v>1</v>
      </c>
      <c r="F83" s="12"/>
      <c r="G83" s="12">
        <v>590</v>
      </c>
      <c r="H83" s="12">
        <v>11.2</v>
      </c>
      <c r="I83" s="12"/>
      <c r="J83" s="12" t="s">
        <v>125</v>
      </c>
      <c r="K83" s="12" t="b">
        <v>1</v>
      </c>
      <c r="L83" s="12">
        <v>10</v>
      </c>
      <c r="M83" s="8">
        <v>2023</v>
      </c>
      <c r="N83" s="9">
        <v>3900000</v>
      </c>
      <c r="O83" s="13">
        <v>41578</v>
      </c>
      <c r="P83" s="13">
        <v>41578</v>
      </c>
    </row>
    <row r="84" spans="1:16">
      <c r="A84" s="10">
        <v>2013</v>
      </c>
      <c r="B84" s="11" t="s">
        <v>466</v>
      </c>
      <c r="C84" s="11" t="s">
        <v>467</v>
      </c>
      <c r="D84" s="12">
        <v>1021011</v>
      </c>
      <c r="E84" s="12">
        <v>1</v>
      </c>
      <c r="F84" s="12"/>
      <c r="G84" s="12">
        <v>590</v>
      </c>
      <c r="H84" s="12">
        <v>11.2</v>
      </c>
      <c r="I84" s="12"/>
      <c r="J84" s="12" t="s">
        <v>125</v>
      </c>
      <c r="K84" s="12" t="b">
        <v>1</v>
      </c>
      <c r="L84" s="12">
        <v>4</v>
      </c>
      <c r="M84" s="8">
        <v>2017</v>
      </c>
      <c r="N84" s="9">
        <v>3300000</v>
      </c>
      <c r="O84" s="13">
        <v>41578</v>
      </c>
      <c r="P84" s="13">
        <v>41578</v>
      </c>
    </row>
    <row r="85" spans="1:16">
      <c r="A85" s="10">
        <v>2013</v>
      </c>
      <c r="B85" s="11" t="s">
        <v>466</v>
      </c>
      <c r="C85" s="11" t="s">
        <v>467</v>
      </c>
      <c r="D85" s="12">
        <v>1021011</v>
      </c>
      <c r="E85" s="12">
        <v>1</v>
      </c>
      <c r="F85" s="12"/>
      <c r="G85" s="12">
        <v>590</v>
      </c>
      <c r="H85" s="12">
        <v>11.2</v>
      </c>
      <c r="I85" s="12"/>
      <c r="J85" s="12" t="s">
        <v>125</v>
      </c>
      <c r="K85" s="12" t="b">
        <v>1</v>
      </c>
      <c r="L85" s="12">
        <v>9</v>
      </c>
      <c r="M85" s="8">
        <v>2022</v>
      </c>
      <c r="N85" s="9">
        <v>3800000</v>
      </c>
      <c r="O85" s="13">
        <v>41578</v>
      </c>
      <c r="P85" s="13">
        <v>41578</v>
      </c>
    </row>
    <row r="86" spans="1:16">
      <c r="A86" s="10">
        <v>2013</v>
      </c>
      <c r="B86" s="11" t="s">
        <v>466</v>
      </c>
      <c r="C86" s="11" t="s">
        <v>467</v>
      </c>
      <c r="D86" s="12">
        <v>1021011</v>
      </c>
      <c r="E86" s="12">
        <v>1</v>
      </c>
      <c r="F86" s="12"/>
      <c r="G86" s="12">
        <v>590</v>
      </c>
      <c r="H86" s="12">
        <v>11.2</v>
      </c>
      <c r="I86" s="12"/>
      <c r="J86" s="12" t="s">
        <v>125</v>
      </c>
      <c r="K86" s="12" t="b">
        <v>1</v>
      </c>
      <c r="L86" s="12">
        <v>6</v>
      </c>
      <c r="M86" s="8">
        <v>2019</v>
      </c>
      <c r="N86" s="9">
        <v>3500000</v>
      </c>
      <c r="O86" s="13">
        <v>41578</v>
      </c>
      <c r="P86" s="13">
        <v>41578</v>
      </c>
    </row>
    <row r="87" spans="1:16">
      <c r="A87" s="10">
        <v>2013</v>
      </c>
      <c r="B87" s="11" t="s">
        <v>466</v>
      </c>
      <c r="C87" s="11" t="s">
        <v>467</v>
      </c>
      <c r="D87" s="12">
        <v>1021011</v>
      </c>
      <c r="E87" s="12">
        <v>1</v>
      </c>
      <c r="F87" s="12"/>
      <c r="G87" s="12">
        <v>590</v>
      </c>
      <c r="H87" s="12">
        <v>11.2</v>
      </c>
      <c r="I87" s="12"/>
      <c r="J87" s="12" t="s">
        <v>125</v>
      </c>
      <c r="K87" s="12" t="b">
        <v>1</v>
      </c>
      <c r="L87" s="12">
        <v>2</v>
      </c>
      <c r="M87" s="8">
        <v>2015</v>
      </c>
      <c r="N87" s="9">
        <v>3100000</v>
      </c>
      <c r="O87" s="13">
        <v>41578</v>
      </c>
      <c r="P87" s="13">
        <v>41578</v>
      </c>
    </row>
    <row r="88" spans="1:16">
      <c r="A88" s="10">
        <v>2013</v>
      </c>
      <c r="B88" s="11" t="s">
        <v>466</v>
      </c>
      <c r="C88" s="11" t="s">
        <v>467</v>
      </c>
      <c r="D88" s="12">
        <v>1021011</v>
      </c>
      <c r="E88" s="12">
        <v>1</v>
      </c>
      <c r="F88" s="12"/>
      <c r="G88" s="12">
        <v>590</v>
      </c>
      <c r="H88" s="12">
        <v>11.2</v>
      </c>
      <c r="I88" s="12"/>
      <c r="J88" s="12" t="s">
        <v>125</v>
      </c>
      <c r="K88" s="12" t="b">
        <v>1</v>
      </c>
      <c r="L88" s="12">
        <v>0</v>
      </c>
      <c r="M88" s="8">
        <v>2013</v>
      </c>
      <c r="N88" s="9">
        <v>3136825.95</v>
      </c>
      <c r="O88" s="13">
        <v>41578</v>
      </c>
      <c r="P88" s="13">
        <v>41578</v>
      </c>
    </row>
    <row r="89" spans="1:16">
      <c r="A89" s="10">
        <v>2013</v>
      </c>
      <c r="B89" s="11" t="s">
        <v>466</v>
      </c>
      <c r="C89" s="11" t="s">
        <v>467</v>
      </c>
      <c r="D89" s="12">
        <v>1021011</v>
      </c>
      <c r="E89" s="12">
        <v>1</v>
      </c>
      <c r="F89" s="12"/>
      <c r="G89" s="12">
        <v>590</v>
      </c>
      <c r="H89" s="12">
        <v>11.2</v>
      </c>
      <c r="I89" s="12"/>
      <c r="J89" s="12" t="s">
        <v>125</v>
      </c>
      <c r="K89" s="12" t="b">
        <v>1</v>
      </c>
      <c r="L89" s="12">
        <v>8</v>
      </c>
      <c r="M89" s="8">
        <v>2021</v>
      </c>
      <c r="N89" s="9">
        <v>3700000</v>
      </c>
      <c r="O89" s="13">
        <v>41578</v>
      </c>
      <c r="P89" s="13">
        <v>41578</v>
      </c>
    </row>
    <row r="90" spans="1:16">
      <c r="A90" s="10">
        <v>2013</v>
      </c>
      <c r="B90" s="11" t="s">
        <v>466</v>
      </c>
      <c r="C90" s="11" t="s">
        <v>467</v>
      </c>
      <c r="D90" s="12">
        <v>1021011</v>
      </c>
      <c r="E90" s="12">
        <v>1</v>
      </c>
      <c r="F90" s="12"/>
      <c r="G90" s="12">
        <v>590</v>
      </c>
      <c r="H90" s="12">
        <v>11.2</v>
      </c>
      <c r="I90" s="12"/>
      <c r="J90" s="12" t="s">
        <v>125</v>
      </c>
      <c r="K90" s="12" t="b">
        <v>1</v>
      </c>
      <c r="L90" s="12">
        <v>7</v>
      </c>
      <c r="M90" s="8">
        <v>2020</v>
      </c>
      <c r="N90" s="9">
        <v>3600000</v>
      </c>
      <c r="O90" s="13">
        <v>41578</v>
      </c>
      <c r="P90" s="13">
        <v>41578</v>
      </c>
    </row>
    <row r="91" spans="1:16">
      <c r="A91" s="10">
        <v>2013</v>
      </c>
      <c r="B91" s="11" t="s">
        <v>466</v>
      </c>
      <c r="C91" s="11" t="s">
        <v>467</v>
      </c>
      <c r="D91" s="12">
        <v>1021011</v>
      </c>
      <c r="E91" s="12">
        <v>1</v>
      </c>
      <c r="F91" s="12"/>
      <c r="G91" s="12">
        <v>590</v>
      </c>
      <c r="H91" s="12">
        <v>11.2</v>
      </c>
      <c r="I91" s="12"/>
      <c r="J91" s="12" t="s">
        <v>125</v>
      </c>
      <c r="K91" s="12" t="b">
        <v>1</v>
      </c>
      <c r="L91" s="12">
        <v>1</v>
      </c>
      <c r="M91" s="8">
        <v>2014</v>
      </c>
      <c r="N91" s="9">
        <v>3000000</v>
      </c>
      <c r="O91" s="13">
        <v>41578</v>
      </c>
      <c r="P91" s="13">
        <v>41578</v>
      </c>
    </row>
    <row r="92" spans="1:16">
      <c r="A92" s="10">
        <v>2013</v>
      </c>
      <c r="B92" s="11" t="s">
        <v>466</v>
      </c>
      <c r="C92" s="11" t="s">
        <v>467</v>
      </c>
      <c r="D92" s="12">
        <v>1021011</v>
      </c>
      <c r="E92" s="12">
        <v>1</v>
      </c>
      <c r="F92" s="12"/>
      <c r="G92" s="12">
        <v>580</v>
      </c>
      <c r="H92" s="12">
        <v>11.1</v>
      </c>
      <c r="I92" s="12"/>
      <c r="J92" s="12" t="s">
        <v>124</v>
      </c>
      <c r="K92" s="12" t="b">
        <v>0</v>
      </c>
      <c r="L92" s="12">
        <v>6</v>
      </c>
      <c r="M92" s="8">
        <v>2019</v>
      </c>
      <c r="N92" s="9">
        <v>13600000</v>
      </c>
      <c r="O92" s="13">
        <v>41578</v>
      </c>
      <c r="P92" s="13">
        <v>41578</v>
      </c>
    </row>
    <row r="93" spans="1:16">
      <c r="A93" s="10">
        <v>2013</v>
      </c>
      <c r="B93" s="11" t="s">
        <v>466</v>
      </c>
      <c r="C93" s="11" t="s">
        <v>467</v>
      </c>
      <c r="D93" s="12">
        <v>1021011</v>
      </c>
      <c r="E93" s="12">
        <v>1</v>
      </c>
      <c r="F93" s="12"/>
      <c r="G93" s="12">
        <v>580</v>
      </c>
      <c r="H93" s="12">
        <v>11.1</v>
      </c>
      <c r="I93" s="12"/>
      <c r="J93" s="12" t="s">
        <v>124</v>
      </c>
      <c r="K93" s="12" t="b">
        <v>0</v>
      </c>
      <c r="L93" s="12">
        <v>4</v>
      </c>
      <c r="M93" s="8">
        <v>2017</v>
      </c>
      <c r="N93" s="9">
        <v>13200000</v>
      </c>
      <c r="O93" s="13">
        <v>41578</v>
      </c>
      <c r="P93" s="13">
        <v>41578</v>
      </c>
    </row>
    <row r="94" spans="1:16">
      <c r="A94" s="10">
        <v>2013</v>
      </c>
      <c r="B94" s="11" t="s">
        <v>466</v>
      </c>
      <c r="C94" s="11" t="s">
        <v>467</v>
      </c>
      <c r="D94" s="12">
        <v>1021011</v>
      </c>
      <c r="E94" s="12">
        <v>1</v>
      </c>
      <c r="F94" s="12"/>
      <c r="G94" s="12">
        <v>580</v>
      </c>
      <c r="H94" s="12">
        <v>11.1</v>
      </c>
      <c r="I94" s="12"/>
      <c r="J94" s="12" t="s">
        <v>124</v>
      </c>
      <c r="K94" s="12" t="b">
        <v>0</v>
      </c>
      <c r="L94" s="12">
        <v>0</v>
      </c>
      <c r="M94" s="8">
        <v>2013</v>
      </c>
      <c r="N94" s="9">
        <v>12581224</v>
      </c>
      <c r="O94" s="13">
        <v>41578</v>
      </c>
      <c r="P94" s="13">
        <v>41578</v>
      </c>
    </row>
    <row r="95" spans="1:16">
      <c r="A95" s="10">
        <v>2013</v>
      </c>
      <c r="B95" s="11" t="s">
        <v>466</v>
      </c>
      <c r="C95" s="11" t="s">
        <v>467</v>
      </c>
      <c r="D95" s="12">
        <v>1021011</v>
      </c>
      <c r="E95" s="12">
        <v>1</v>
      </c>
      <c r="F95" s="12"/>
      <c r="G95" s="12">
        <v>580</v>
      </c>
      <c r="H95" s="12">
        <v>11.1</v>
      </c>
      <c r="I95" s="12"/>
      <c r="J95" s="12" t="s">
        <v>124</v>
      </c>
      <c r="K95" s="12" t="b">
        <v>0</v>
      </c>
      <c r="L95" s="12">
        <v>7</v>
      </c>
      <c r="M95" s="8">
        <v>2020</v>
      </c>
      <c r="N95" s="9">
        <v>13800000</v>
      </c>
      <c r="O95" s="13">
        <v>41578</v>
      </c>
      <c r="P95" s="13">
        <v>41578</v>
      </c>
    </row>
    <row r="96" spans="1:16">
      <c r="A96" s="10">
        <v>2013</v>
      </c>
      <c r="B96" s="11" t="s">
        <v>466</v>
      </c>
      <c r="C96" s="11" t="s">
        <v>467</v>
      </c>
      <c r="D96" s="12">
        <v>1021011</v>
      </c>
      <c r="E96" s="12">
        <v>1</v>
      </c>
      <c r="F96" s="12"/>
      <c r="G96" s="12">
        <v>580</v>
      </c>
      <c r="H96" s="12">
        <v>11.1</v>
      </c>
      <c r="I96" s="12"/>
      <c r="J96" s="12" t="s">
        <v>124</v>
      </c>
      <c r="K96" s="12" t="b">
        <v>0</v>
      </c>
      <c r="L96" s="12">
        <v>10</v>
      </c>
      <c r="M96" s="8">
        <v>2023</v>
      </c>
      <c r="N96" s="9">
        <v>14500000</v>
      </c>
      <c r="O96" s="13">
        <v>41578</v>
      </c>
      <c r="P96" s="13">
        <v>41578</v>
      </c>
    </row>
    <row r="97" spans="1:16">
      <c r="A97" s="10">
        <v>2013</v>
      </c>
      <c r="B97" s="11" t="s">
        <v>466</v>
      </c>
      <c r="C97" s="11" t="s">
        <v>467</v>
      </c>
      <c r="D97" s="12">
        <v>1021011</v>
      </c>
      <c r="E97" s="12">
        <v>1</v>
      </c>
      <c r="F97" s="12"/>
      <c r="G97" s="12">
        <v>580</v>
      </c>
      <c r="H97" s="12">
        <v>11.1</v>
      </c>
      <c r="I97" s="12"/>
      <c r="J97" s="12" t="s">
        <v>124</v>
      </c>
      <c r="K97" s="12" t="b">
        <v>0</v>
      </c>
      <c r="L97" s="12">
        <v>2</v>
      </c>
      <c r="M97" s="8">
        <v>2015</v>
      </c>
      <c r="N97" s="9">
        <v>12800000</v>
      </c>
      <c r="O97" s="13">
        <v>41578</v>
      </c>
      <c r="P97" s="13">
        <v>41578</v>
      </c>
    </row>
    <row r="98" spans="1:16">
      <c r="A98" s="10">
        <v>2013</v>
      </c>
      <c r="B98" s="11" t="s">
        <v>466</v>
      </c>
      <c r="C98" s="11" t="s">
        <v>467</v>
      </c>
      <c r="D98" s="12">
        <v>1021011</v>
      </c>
      <c r="E98" s="12">
        <v>1</v>
      </c>
      <c r="F98" s="12"/>
      <c r="G98" s="12">
        <v>580</v>
      </c>
      <c r="H98" s="12">
        <v>11.1</v>
      </c>
      <c r="I98" s="12"/>
      <c r="J98" s="12" t="s">
        <v>124</v>
      </c>
      <c r="K98" s="12" t="b">
        <v>0</v>
      </c>
      <c r="L98" s="12">
        <v>3</v>
      </c>
      <c r="M98" s="8">
        <v>2016</v>
      </c>
      <c r="N98" s="9">
        <v>13000000</v>
      </c>
      <c r="O98" s="13">
        <v>41578</v>
      </c>
      <c r="P98" s="13">
        <v>41578</v>
      </c>
    </row>
    <row r="99" spans="1:16">
      <c r="A99" s="10">
        <v>2013</v>
      </c>
      <c r="B99" s="11" t="s">
        <v>466</v>
      </c>
      <c r="C99" s="11" t="s">
        <v>467</v>
      </c>
      <c r="D99" s="12">
        <v>1021011</v>
      </c>
      <c r="E99" s="12">
        <v>1</v>
      </c>
      <c r="F99" s="12"/>
      <c r="G99" s="12">
        <v>580</v>
      </c>
      <c r="H99" s="12">
        <v>11.1</v>
      </c>
      <c r="I99" s="12"/>
      <c r="J99" s="12" t="s">
        <v>124</v>
      </c>
      <c r="K99" s="12" t="b">
        <v>0</v>
      </c>
      <c r="L99" s="12">
        <v>5</v>
      </c>
      <c r="M99" s="8">
        <v>2018</v>
      </c>
      <c r="N99" s="9">
        <v>13400000</v>
      </c>
      <c r="O99" s="13">
        <v>41578</v>
      </c>
      <c r="P99" s="13">
        <v>41578</v>
      </c>
    </row>
    <row r="100" spans="1:16">
      <c r="A100" s="10">
        <v>2013</v>
      </c>
      <c r="B100" s="11" t="s">
        <v>466</v>
      </c>
      <c r="C100" s="11" t="s">
        <v>467</v>
      </c>
      <c r="D100" s="12">
        <v>1021011</v>
      </c>
      <c r="E100" s="12">
        <v>1</v>
      </c>
      <c r="F100" s="12"/>
      <c r="G100" s="12">
        <v>580</v>
      </c>
      <c r="H100" s="12">
        <v>11.1</v>
      </c>
      <c r="I100" s="12"/>
      <c r="J100" s="12" t="s">
        <v>124</v>
      </c>
      <c r="K100" s="12" t="b">
        <v>0</v>
      </c>
      <c r="L100" s="12">
        <v>1</v>
      </c>
      <c r="M100" s="8">
        <v>2014</v>
      </c>
      <c r="N100" s="9">
        <v>12400000</v>
      </c>
      <c r="O100" s="13">
        <v>41578</v>
      </c>
      <c r="P100" s="13">
        <v>41578</v>
      </c>
    </row>
    <row r="101" spans="1:16">
      <c r="A101" s="10">
        <v>2013</v>
      </c>
      <c r="B101" s="11" t="s">
        <v>466</v>
      </c>
      <c r="C101" s="11" t="s">
        <v>467</v>
      </c>
      <c r="D101" s="12">
        <v>1021011</v>
      </c>
      <c r="E101" s="12">
        <v>1</v>
      </c>
      <c r="F101" s="12"/>
      <c r="G101" s="12">
        <v>580</v>
      </c>
      <c r="H101" s="12">
        <v>11.1</v>
      </c>
      <c r="I101" s="12"/>
      <c r="J101" s="12" t="s">
        <v>124</v>
      </c>
      <c r="K101" s="12" t="b">
        <v>0</v>
      </c>
      <c r="L101" s="12">
        <v>8</v>
      </c>
      <c r="M101" s="8">
        <v>2021</v>
      </c>
      <c r="N101" s="9">
        <v>14000000</v>
      </c>
      <c r="O101" s="13">
        <v>41578</v>
      </c>
      <c r="P101" s="13">
        <v>41578</v>
      </c>
    </row>
    <row r="102" spans="1:16">
      <c r="A102" s="10">
        <v>2013</v>
      </c>
      <c r="B102" s="11" t="s">
        <v>466</v>
      </c>
      <c r="C102" s="11" t="s">
        <v>467</v>
      </c>
      <c r="D102" s="12">
        <v>1021011</v>
      </c>
      <c r="E102" s="12">
        <v>1</v>
      </c>
      <c r="F102" s="12"/>
      <c r="G102" s="12">
        <v>580</v>
      </c>
      <c r="H102" s="12">
        <v>11.1</v>
      </c>
      <c r="I102" s="12"/>
      <c r="J102" s="12" t="s">
        <v>124</v>
      </c>
      <c r="K102" s="12" t="b">
        <v>0</v>
      </c>
      <c r="L102" s="12">
        <v>9</v>
      </c>
      <c r="M102" s="8">
        <v>2022</v>
      </c>
      <c r="N102" s="9">
        <v>14251000</v>
      </c>
      <c r="O102" s="13">
        <v>41578</v>
      </c>
      <c r="P102" s="13">
        <v>41578</v>
      </c>
    </row>
    <row r="103" spans="1:16">
      <c r="A103" s="10">
        <v>2013</v>
      </c>
      <c r="B103" s="11" t="s">
        <v>466</v>
      </c>
      <c r="C103" s="11" t="s">
        <v>467</v>
      </c>
      <c r="D103" s="12">
        <v>1021011</v>
      </c>
      <c r="E103" s="12">
        <v>1</v>
      </c>
      <c r="F103" s="12"/>
      <c r="G103" s="12">
        <v>170</v>
      </c>
      <c r="H103" s="12" t="s">
        <v>78</v>
      </c>
      <c r="I103" s="12"/>
      <c r="J103" s="12" t="s">
        <v>79</v>
      </c>
      <c r="K103" s="12" t="b">
        <v>1</v>
      </c>
      <c r="L103" s="12">
        <v>1</v>
      </c>
      <c r="M103" s="8">
        <v>2014</v>
      </c>
      <c r="N103" s="9">
        <v>602000</v>
      </c>
      <c r="O103" s="13">
        <v>41578</v>
      </c>
      <c r="P103" s="13">
        <v>41578</v>
      </c>
    </row>
    <row r="104" spans="1:16">
      <c r="A104" s="10">
        <v>2013</v>
      </c>
      <c r="B104" s="11" t="s">
        <v>466</v>
      </c>
      <c r="C104" s="11" t="s">
        <v>467</v>
      </c>
      <c r="D104" s="12">
        <v>1021011</v>
      </c>
      <c r="E104" s="12">
        <v>1</v>
      </c>
      <c r="F104" s="12"/>
      <c r="G104" s="12">
        <v>170</v>
      </c>
      <c r="H104" s="12" t="s">
        <v>78</v>
      </c>
      <c r="I104" s="12"/>
      <c r="J104" s="12" t="s">
        <v>79</v>
      </c>
      <c r="K104" s="12" t="b">
        <v>1</v>
      </c>
      <c r="L104" s="12">
        <v>10</v>
      </c>
      <c r="M104" s="8">
        <v>2023</v>
      </c>
      <c r="N104" s="9">
        <v>69000</v>
      </c>
      <c r="O104" s="13">
        <v>41578</v>
      </c>
      <c r="P104" s="13">
        <v>41578</v>
      </c>
    </row>
    <row r="105" spans="1:16">
      <c r="A105" s="10">
        <v>2013</v>
      </c>
      <c r="B105" s="11" t="s">
        <v>466</v>
      </c>
      <c r="C105" s="11" t="s">
        <v>467</v>
      </c>
      <c r="D105" s="12">
        <v>1021011</v>
      </c>
      <c r="E105" s="12">
        <v>1</v>
      </c>
      <c r="F105" s="12"/>
      <c r="G105" s="12">
        <v>170</v>
      </c>
      <c r="H105" s="12" t="s">
        <v>78</v>
      </c>
      <c r="I105" s="12"/>
      <c r="J105" s="12" t="s">
        <v>79</v>
      </c>
      <c r="K105" s="12" t="b">
        <v>1</v>
      </c>
      <c r="L105" s="12">
        <v>3</v>
      </c>
      <c r="M105" s="8">
        <v>2016</v>
      </c>
      <c r="N105" s="9">
        <v>503000</v>
      </c>
      <c r="O105" s="13">
        <v>41578</v>
      </c>
      <c r="P105" s="13">
        <v>41578</v>
      </c>
    </row>
    <row r="106" spans="1:16">
      <c r="A106" s="10">
        <v>2013</v>
      </c>
      <c r="B106" s="11" t="s">
        <v>466</v>
      </c>
      <c r="C106" s="11" t="s">
        <v>467</v>
      </c>
      <c r="D106" s="12">
        <v>1021011</v>
      </c>
      <c r="E106" s="12">
        <v>1</v>
      </c>
      <c r="F106" s="12"/>
      <c r="G106" s="12">
        <v>170</v>
      </c>
      <c r="H106" s="12" t="s">
        <v>78</v>
      </c>
      <c r="I106" s="12"/>
      <c r="J106" s="12" t="s">
        <v>79</v>
      </c>
      <c r="K106" s="12" t="b">
        <v>1</v>
      </c>
      <c r="L106" s="12">
        <v>9</v>
      </c>
      <c r="M106" s="8">
        <v>2022</v>
      </c>
      <c r="N106" s="9">
        <v>128000</v>
      </c>
      <c r="O106" s="13">
        <v>41578</v>
      </c>
      <c r="P106" s="13">
        <v>41578</v>
      </c>
    </row>
    <row r="107" spans="1:16">
      <c r="A107" s="10">
        <v>2013</v>
      </c>
      <c r="B107" s="11" t="s">
        <v>466</v>
      </c>
      <c r="C107" s="11" t="s">
        <v>467</v>
      </c>
      <c r="D107" s="12">
        <v>1021011</v>
      </c>
      <c r="E107" s="12">
        <v>1</v>
      </c>
      <c r="F107" s="12"/>
      <c r="G107" s="12">
        <v>170</v>
      </c>
      <c r="H107" s="12" t="s">
        <v>78</v>
      </c>
      <c r="I107" s="12"/>
      <c r="J107" s="12" t="s">
        <v>79</v>
      </c>
      <c r="K107" s="12" t="b">
        <v>1</v>
      </c>
      <c r="L107" s="12">
        <v>4</v>
      </c>
      <c r="M107" s="8">
        <v>2017</v>
      </c>
      <c r="N107" s="9">
        <v>434000</v>
      </c>
      <c r="O107" s="13">
        <v>41578</v>
      </c>
      <c r="P107" s="13">
        <v>41578</v>
      </c>
    </row>
    <row r="108" spans="1:16">
      <c r="A108" s="10">
        <v>2013</v>
      </c>
      <c r="B108" s="11" t="s">
        <v>466</v>
      </c>
      <c r="C108" s="11" t="s">
        <v>467</v>
      </c>
      <c r="D108" s="12">
        <v>1021011</v>
      </c>
      <c r="E108" s="12">
        <v>1</v>
      </c>
      <c r="F108" s="12"/>
      <c r="G108" s="12">
        <v>170</v>
      </c>
      <c r="H108" s="12" t="s">
        <v>78</v>
      </c>
      <c r="I108" s="12"/>
      <c r="J108" s="12" t="s">
        <v>79</v>
      </c>
      <c r="K108" s="12" t="b">
        <v>1</v>
      </c>
      <c r="L108" s="12">
        <v>2</v>
      </c>
      <c r="M108" s="8">
        <v>2015</v>
      </c>
      <c r="N108" s="9">
        <v>559000</v>
      </c>
      <c r="O108" s="13">
        <v>41578</v>
      </c>
      <c r="P108" s="13">
        <v>41578</v>
      </c>
    </row>
    <row r="109" spans="1:16">
      <c r="A109" s="10">
        <v>2013</v>
      </c>
      <c r="B109" s="11" t="s">
        <v>466</v>
      </c>
      <c r="C109" s="11" t="s">
        <v>467</v>
      </c>
      <c r="D109" s="12">
        <v>1021011</v>
      </c>
      <c r="E109" s="12">
        <v>1</v>
      </c>
      <c r="F109" s="12"/>
      <c r="G109" s="12">
        <v>170</v>
      </c>
      <c r="H109" s="12" t="s">
        <v>78</v>
      </c>
      <c r="I109" s="12"/>
      <c r="J109" s="12" t="s">
        <v>79</v>
      </c>
      <c r="K109" s="12" t="b">
        <v>1</v>
      </c>
      <c r="L109" s="12">
        <v>5</v>
      </c>
      <c r="M109" s="8">
        <v>2018</v>
      </c>
      <c r="N109" s="9">
        <v>366000</v>
      </c>
      <c r="O109" s="13">
        <v>41578</v>
      </c>
      <c r="P109" s="13">
        <v>41578</v>
      </c>
    </row>
    <row r="110" spans="1:16">
      <c r="A110" s="10">
        <v>2013</v>
      </c>
      <c r="B110" s="11" t="s">
        <v>466</v>
      </c>
      <c r="C110" s="11" t="s">
        <v>467</v>
      </c>
      <c r="D110" s="12">
        <v>1021011</v>
      </c>
      <c r="E110" s="12">
        <v>1</v>
      </c>
      <c r="F110" s="12"/>
      <c r="G110" s="12">
        <v>170</v>
      </c>
      <c r="H110" s="12" t="s">
        <v>78</v>
      </c>
      <c r="I110" s="12"/>
      <c r="J110" s="12" t="s">
        <v>79</v>
      </c>
      <c r="K110" s="12" t="b">
        <v>1</v>
      </c>
      <c r="L110" s="12">
        <v>6</v>
      </c>
      <c r="M110" s="8">
        <v>2019</v>
      </c>
      <c r="N110" s="9">
        <v>302000</v>
      </c>
      <c r="O110" s="13">
        <v>41578</v>
      </c>
      <c r="P110" s="13">
        <v>41578</v>
      </c>
    </row>
    <row r="111" spans="1:16">
      <c r="A111" s="10">
        <v>2013</v>
      </c>
      <c r="B111" s="11" t="s">
        <v>466</v>
      </c>
      <c r="C111" s="11" t="s">
        <v>467</v>
      </c>
      <c r="D111" s="12">
        <v>1021011</v>
      </c>
      <c r="E111" s="12">
        <v>1</v>
      </c>
      <c r="F111" s="12"/>
      <c r="G111" s="12">
        <v>170</v>
      </c>
      <c r="H111" s="12" t="s">
        <v>78</v>
      </c>
      <c r="I111" s="12"/>
      <c r="J111" s="12" t="s">
        <v>79</v>
      </c>
      <c r="K111" s="12" t="b">
        <v>1</v>
      </c>
      <c r="L111" s="12">
        <v>0</v>
      </c>
      <c r="M111" s="8">
        <v>2013</v>
      </c>
      <c r="N111" s="9">
        <v>700000</v>
      </c>
      <c r="O111" s="13">
        <v>41578</v>
      </c>
      <c r="P111" s="13">
        <v>41578</v>
      </c>
    </row>
    <row r="112" spans="1:16">
      <c r="A112" s="10">
        <v>2013</v>
      </c>
      <c r="B112" s="11" t="s">
        <v>466</v>
      </c>
      <c r="C112" s="11" t="s">
        <v>467</v>
      </c>
      <c r="D112" s="12">
        <v>1021011</v>
      </c>
      <c r="E112" s="12">
        <v>1</v>
      </c>
      <c r="F112" s="12"/>
      <c r="G112" s="12">
        <v>170</v>
      </c>
      <c r="H112" s="12" t="s">
        <v>78</v>
      </c>
      <c r="I112" s="12"/>
      <c r="J112" s="12" t="s">
        <v>79</v>
      </c>
      <c r="K112" s="12" t="b">
        <v>1</v>
      </c>
      <c r="L112" s="12">
        <v>7</v>
      </c>
      <c r="M112" s="8">
        <v>2020</v>
      </c>
      <c r="N112" s="9">
        <v>237000</v>
      </c>
      <c r="O112" s="13">
        <v>41578</v>
      </c>
      <c r="P112" s="13">
        <v>41578</v>
      </c>
    </row>
    <row r="113" spans="1:16">
      <c r="A113" s="10">
        <v>2013</v>
      </c>
      <c r="B113" s="11" t="s">
        <v>466</v>
      </c>
      <c r="C113" s="11" t="s">
        <v>467</v>
      </c>
      <c r="D113" s="12">
        <v>1021011</v>
      </c>
      <c r="E113" s="12">
        <v>1</v>
      </c>
      <c r="F113" s="12"/>
      <c r="G113" s="12">
        <v>170</v>
      </c>
      <c r="H113" s="12" t="s">
        <v>78</v>
      </c>
      <c r="I113" s="12"/>
      <c r="J113" s="12" t="s">
        <v>79</v>
      </c>
      <c r="K113" s="12" t="b">
        <v>1</v>
      </c>
      <c r="L113" s="12">
        <v>8</v>
      </c>
      <c r="M113" s="8">
        <v>2021</v>
      </c>
      <c r="N113" s="9">
        <v>185000</v>
      </c>
      <c r="O113" s="13">
        <v>41578</v>
      </c>
      <c r="P113" s="13">
        <v>41578</v>
      </c>
    </row>
    <row r="114" spans="1:16">
      <c r="A114" s="10">
        <v>2013</v>
      </c>
      <c r="B114" s="11" t="s">
        <v>466</v>
      </c>
      <c r="C114" s="11" t="s">
        <v>467</v>
      </c>
      <c r="D114" s="12">
        <v>1021011</v>
      </c>
      <c r="E114" s="12">
        <v>1</v>
      </c>
      <c r="F114" s="12"/>
      <c r="G114" s="12">
        <v>730</v>
      </c>
      <c r="H114" s="12">
        <v>12.3</v>
      </c>
      <c r="I114" s="12"/>
      <c r="J114" s="12" t="s">
        <v>145</v>
      </c>
      <c r="K114" s="12" t="b">
        <v>0</v>
      </c>
      <c r="L114" s="12">
        <v>0</v>
      </c>
      <c r="M114" s="8">
        <v>2013</v>
      </c>
      <c r="N114" s="9">
        <v>1974899.23</v>
      </c>
      <c r="O114" s="13">
        <v>41578</v>
      </c>
      <c r="P114" s="13">
        <v>41578</v>
      </c>
    </row>
    <row r="115" spans="1:16">
      <c r="A115" s="10">
        <v>2013</v>
      </c>
      <c r="B115" s="11" t="s">
        <v>466</v>
      </c>
      <c r="C115" s="11" t="s">
        <v>467</v>
      </c>
      <c r="D115" s="12">
        <v>1021011</v>
      </c>
      <c r="E115" s="12">
        <v>1</v>
      </c>
      <c r="F115" s="12"/>
      <c r="G115" s="12">
        <v>730</v>
      </c>
      <c r="H115" s="12">
        <v>12.3</v>
      </c>
      <c r="I115" s="12"/>
      <c r="J115" s="12" t="s">
        <v>145</v>
      </c>
      <c r="K115" s="12" t="b">
        <v>0</v>
      </c>
      <c r="L115" s="12">
        <v>1</v>
      </c>
      <c r="M115" s="8">
        <v>2014</v>
      </c>
      <c r="N115" s="9">
        <v>262135.15</v>
      </c>
      <c r="O115" s="13">
        <v>41578</v>
      </c>
      <c r="P115" s="13">
        <v>41578</v>
      </c>
    </row>
    <row r="116" spans="1:16">
      <c r="A116" s="10">
        <v>2013</v>
      </c>
      <c r="B116" s="11" t="s">
        <v>466</v>
      </c>
      <c r="C116" s="11" t="s">
        <v>467</v>
      </c>
      <c r="D116" s="12">
        <v>1021011</v>
      </c>
      <c r="E116" s="12">
        <v>1</v>
      </c>
      <c r="F116" s="12"/>
      <c r="G116" s="12">
        <v>880</v>
      </c>
      <c r="H116" s="12">
        <v>14.1</v>
      </c>
      <c r="I116" s="12"/>
      <c r="J116" s="12" t="s">
        <v>164</v>
      </c>
      <c r="K116" s="12" t="b">
        <v>1</v>
      </c>
      <c r="L116" s="12">
        <v>6</v>
      </c>
      <c r="M116" s="8">
        <v>2019</v>
      </c>
      <c r="N116" s="9">
        <v>1310004</v>
      </c>
      <c r="O116" s="13">
        <v>41578</v>
      </c>
      <c r="P116" s="13">
        <v>41578</v>
      </c>
    </row>
    <row r="117" spans="1:16">
      <c r="A117" s="10">
        <v>2013</v>
      </c>
      <c r="B117" s="11" t="s">
        <v>466</v>
      </c>
      <c r="C117" s="11" t="s">
        <v>467</v>
      </c>
      <c r="D117" s="12">
        <v>1021011</v>
      </c>
      <c r="E117" s="12">
        <v>1</v>
      </c>
      <c r="F117" s="12"/>
      <c r="G117" s="12">
        <v>880</v>
      </c>
      <c r="H117" s="12">
        <v>14.1</v>
      </c>
      <c r="I117" s="12"/>
      <c r="J117" s="12" t="s">
        <v>164</v>
      </c>
      <c r="K117" s="12" t="b">
        <v>1</v>
      </c>
      <c r="L117" s="12">
        <v>1</v>
      </c>
      <c r="M117" s="8">
        <v>2014</v>
      </c>
      <c r="N117" s="9">
        <v>938060.16</v>
      </c>
      <c r="O117" s="13">
        <v>41578</v>
      </c>
      <c r="P117" s="13">
        <v>41578</v>
      </c>
    </row>
    <row r="118" spans="1:16">
      <c r="A118" s="10">
        <v>2013</v>
      </c>
      <c r="B118" s="11" t="s">
        <v>466</v>
      </c>
      <c r="C118" s="11" t="s">
        <v>467</v>
      </c>
      <c r="D118" s="12">
        <v>1021011</v>
      </c>
      <c r="E118" s="12">
        <v>1</v>
      </c>
      <c r="F118" s="12"/>
      <c r="G118" s="12">
        <v>880</v>
      </c>
      <c r="H118" s="12">
        <v>14.1</v>
      </c>
      <c r="I118" s="12"/>
      <c r="J118" s="12" t="s">
        <v>164</v>
      </c>
      <c r="K118" s="12" t="b">
        <v>1</v>
      </c>
      <c r="L118" s="12">
        <v>3</v>
      </c>
      <c r="M118" s="8">
        <v>2016</v>
      </c>
      <c r="N118" s="9">
        <v>1565696</v>
      </c>
      <c r="O118" s="13">
        <v>41578</v>
      </c>
      <c r="P118" s="13">
        <v>41578</v>
      </c>
    </row>
    <row r="119" spans="1:16">
      <c r="A119" s="10">
        <v>2013</v>
      </c>
      <c r="B119" s="11" t="s">
        <v>466</v>
      </c>
      <c r="C119" s="11" t="s">
        <v>467</v>
      </c>
      <c r="D119" s="12">
        <v>1021011</v>
      </c>
      <c r="E119" s="12">
        <v>1</v>
      </c>
      <c r="F119" s="12"/>
      <c r="G119" s="12">
        <v>880</v>
      </c>
      <c r="H119" s="12">
        <v>14.1</v>
      </c>
      <c r="I119" s="12"/>
      <c r="J119" s="12" t="s">
        <v>164</v>
      </c>
      <c r="K119" s="12" t="b">
        <v>1</v>
      </c>
      <c r="L119" s="12">
        <v>2</v>
      </c>
      <c r="M119" s="8">
        <v>2015</v>
      </c>
      <c r="N119" s="9">
        <v>1215692</v>
      </c>
      <c r="O119" s="13">
        <v>41578</v>
      </c>
      <c r="P119" s="13">
        <v>41578</v>
      </c>
    </row>
    <row r="120" spans="1:16">
      <c r="A120" s="10">
        <v>2013</v>
      </c>
      <c r="B120" s="11" t="s">
        <v>466</v>
      </c>
      <c r="C120" s="11" t="s">
        <v>467</v>
      </c>
      <c r="D120" s="12">
        <v>1021011</v>
      </c>
      <c r="E120" s="12">
        <v>1</v>
      </c>
      <c r="F120" s="12"/>
      <c r="G120" s="12">
        <v>880</v>
      </c>
      <c r="H120" s="12">
        <v>14.1</v>
      </c>
      <c r="I120" s="12"/>
      <c r="J120" s="12" t="s">
        <v>164</v>
      </c>
      <c r="K120" s="12" t="b">
        <v>1</v>
      </c>
      <c r="L120" s="12">
        <v>0</v>
      </c>
      <c r="M120" s="8">
        <v>2013</v>
      </c>
      <c r="N120" s="9">
        <v>4710000</v>
      </c>
      <c r="O120" s="13">
        <v>41578</v>
      </c>
      <c r="P120" s="13">
        <v>41578</v>
      </c>
    </row>
    <row r="121" spans="1:16">
      <c r="A121" s="10">
        <v>2013</v>
      </c>
      <c r="B121" s="11" t="s">
        <v>466</v>
      </c>
      <c r="C121" s="11" t="s">
        <v>467</v>
      </c>
      <c r="D121" s="12">
        <v>1021011</v>
      </c>
      <c r="E121" s="12">
        <v>1</v>
      </c>
      <c r="F121" s="12"/>
      <c r="G121" s="12">
        <v>880</v>
      </c>
      <c r="H121" s="12">
        <v>14.1</v>
      </c>
      <c r="I121" s="12"/>
      <c r="J121" s="12" t="s">
        <v>164</v>
      </c>
      <c r="K121" s="12" t="b">
        <v>1</v>
      </c>
      <c r="L121" s="12">
        <v>5</v>
      </c>
      <c r="M121" s="8">
        <v>2018</v>
      </c>
      <c r="N121" s="9">
        <v>1478204</v>
      </c>
      <c r="O121" s="13">
        <v>41578</v>
      </c>
      <c r="P121" s="13">
        <v>41578</v>
      </c>
    </row>
    <row r="122" spans="1:16">
      <c r="A122" s="10">
        <v>2013</v>
      </c>
      <c r="B122" s="11" t="s">
        <v>466</v>
      </c>
      <c r="C122" s="11" t="s">
        <v>467</v>
      </c>
      <c r="D122" s="12">
        <v>1021011</v>
      </c>
      <c r="E122" s="12">
        <v>1</v>
      </c>
      <c r="F122" s="12"/>
      <c r="G122" s="12">
        <v>880</v>
      </c>
      <c r="H122" s="12">
        <v>14.1</v>
      </c>
      <c r="I122" s="12"/>
      <c r="J122" s="12" t="s">
        <v>164</v>
      </c>
      <c r="K122" s="12" t="b">
        <v>1</v>
      </c>
      <c r="L122" s="12">
        <v>9</v>
      </c>
      <c r="M122" s="8">
        <v>2022</v>
      </c>
      <c r="N122" s="9">
        <v>350004</v>
      </c>
      <c r="O122" s="13">
        <v>41578</v>
      </c>
      <c r="P122" s="13">
        <v>41578</v>
      </c>
    </row>
    <row r="123" spans="1:16">
      <c r="A123" s="10">
        <v>2013</v>
      </c>
      <c r="B123" s="11" t="s">
        <v>466</v>
      </c>
      <c r="C123" s="11" t="s">
        <v>467</v>
      </c>
      <c r="D123" s="12">
        <v>1021011</v>
      </c>
      <c r="E123" s="12">
        <v>1</v>
      </c>
      <c r="F123" s="12"/>
      <c r="G123" s="12">
        <v>880</v>
      </c>
      <c r="H123" s="12">
        <v>14.1</v>
      </c>
      <c r="I123" s="12"/>
      <c r="J123" s="12" t="s">
        <v>164</v>
      </c>
      <c r="K123" s="12" t="b">
        <v>1</v>
      </c>
      <c r="L123" s="12">
        <v>4</v>
      </c>
      <c r="M123" s="8">
        <v>2017</v>
      </c>
      <c r="N123" s="9">
        <v>1915700</v>
      </c>
      <c r="O123" s="13">
        <v>41578</v>
      </c>
      <c r="P123" s="13">
        <v>41578</v>
      </c>
    </row>
    <row r="124" spans="1:16">
      <c r="A124" s="10">
        <v>2013</v>
      </c>
      <c r="B124" s="11" t="s">
        <v>466</v>
      </c>
      <c r="C124" s="11" t="s">
        <v>467</v>
      </c>
      <c r="D124" s="12">
        <v>1021011</v>
      </c>
      <c r="E124" s="12">
        <v>1</v>
      </c>
      <c r="F124" s="12"/>
      <c r="G124" s="12">
        <v>880</v>
      </c>
      <c r="H124" s="12">
        <v>14.1</v>
      </c>
      <c r="I124" s="12"/>
      <c r="J124" s="12" t="s">
        <v>164</v>
      </c>
      <c r="K124" s="12" t="b">
        <v>1</v>
      </c>
      <c r="L124" s="12">
        <v>8</v>
      </c>
      <c r="M124" s="8">
        <v>2021</v>
      </c>
      <c r="N124" s="9">
        <v>710004</v>
      </c>
      <c r="O124" s="13">
        <v>41578</v>
      </c>
      <c r="P124" s="13">
        <v>41578</v>
      </c>
    </row>
    <row r="125" spans="1:16">
      <c r="A125" s="10">
        <v>2013</v>
      </c>
      <c r="B125" s="11" t="s">
        <v>466</v>
      </c>
      <c r="C125" s="11" t="s">
        <v>467</v>
      </c>
      <c r="D125" s="12">
        <v>1021011</v>
      </c>
      <c r="E125" s="12">
        <v>1</v>
      </c>
      <c r="F125" s="12"/>
      <c r="G125" s="12">
        <v>880</v>
      </c>
      <c r="H125" s="12">
        <v>14.1</v>
      </c>
      <c r="I125" s="12"/>
      <c r="J125" s="12" t="s">
        <v>164</v>
      </c>
      <c r="K125" s="12" t="b">
        <v>1</v>
      </c>
      <c r="L125" s="12">
        <v>7</v>
      </c>
      <c r="M125" s="8">
        <v>2020</v>
      </c>
      <c r="N125" s="9">
        <v>1310004</v>
      </c>
      <c r="O125" s="13">
        <v>41578</v>
      </c>
      <c r="P125" s="13">
        <v>41578</v>
      </c>
    </row>
    <row r="126" spans="1:16">
      <c r="A126" s="10">
        <v>2013</v>
      </c>
      <c r="B126" s="11" t="s">
        <v>466</v>
      </c>
      <c r="C126" s="11" t="s">
        <v>467</v>
      </c>
      <c r="D126" s="12">
        <v>1021011</v>
      </c>
      <c r="E126" s="12">
        <v>1</v>
      </c>
      <c r="F126" s="12"/>
      <c r="G126" s="12">
        <v>110</v>
      </c>
      <c r="H126" s="12" t="s">
        <v>69</v>
      </c>
      <c r="I126" s="12"/>
      <c r="J126" s="12" t="s">
        <v>70</v>
      </c>
      <c r="K126" s="12" t="b">
        <v>1</v>
      </c>
      <c r="L126" s="12">
        <v>0</v>
      </c>
      <c r="M126" s="8">
        <v>2013</v>
      </c>
      <c r="N126" s="9">
        <v>4381623.3600000003</v>
      </c>
      <c r="O126" s="13">
        <v>41578</v>
      </c>
      <c r="P126" s="13">
        <v>41578</v>
      </c>
    </row>
    <row r="127" spans="1:16">
      <c r="A127" s="10">
        <v>2013</v>
      </c>
      <c r="B127" s="11" t="s">
        <v>466</v>
      </c>
      <c r="C127" s="11" t="s">
        <v>467</v>
      </c>
      <c r="D127" s="12">
        <v>1021011</v>
      </c>
      <c r="E127" s="12">
        <v>1</v>
      </c>
      <c r="F127" s="12"/>
      <c r="G127" s="12">
        <v>80</v>
      </c>
      <c r="H127" s="12" t="s">
        <v>64</v>
      </c>
      <c r="I127" s="12"/>
      <c r="J127" s="12" t="s">
        <v>65</v>
      </c>
      <c r="K127" s="12" t="b">
        <v>1</v>
      </c>
      <c r="L127" s="12">
        <v>9</v>
      </c>
      <c r="M127" s="8">
        <v>2022</v>
      </c>
      <c r="N127" s="9">
        <v>6800000</v>
      </c>
      <c r="O127" s="13">
        <v>41578</v>
      </c>
      <c r="P127" s="13">
        <v>41578</v>
      </c>
    </row>
    <row r="128" spans="1:16">
      <c r="A128" s="10">
        <v>2013</v>
      </c>
      <c r="B128" s="11" t="s">
        <v>466</v>
      </c>
      <c r="C128" s="11" t="s">
        <v>467</v>
      </c>
      <c r="D128" s="12">
        <v>1021011</v>
      </c>
      <c r="E128" s="12">
        <v>1</v>
      </c>
      <c r="F128" s="12"/>
      <c r="G128" s="12">
        <v>80</v>
      </c>
      <c r="H128" s="12" t="s">
        <v>64</v>
      </c>
      <c r="I128" s="12"/>
      <c r="J128" s="12" t="s">
        <v>65</v>
      </c>
      <c r="K128" s="12" t="b">
        <v>1</v>
      </c>
      <c r="L128" s="12">
        <v>6</v>
      </c>
      <c r="M128" s="8">
        <v>2019</v>
      </c>
      <c r="N128" s="9">
        <v>6500000</v>
      </c>
      <c r="O128" s="13">
        <v>41578</v>
      </c>
      <c r="P128" s="13">
        <v>41578</v>
      </c>
    </row>
    <row r="129" spans="1:16">
      <c r="A129" s="10">
        <v>2013</v>
      </c>
      <c r="B129" s="11" t="s">
        <v>466</v>
      </c>
      <c r="C129" s="11" t="s">
        <v>467</v>
      </c>
      <c r="D129" s="12">
        <v>1021011</v>
      </c>
      <c r="E129" s="12">
        <v>1</v>
      </c>
      <c r="F129" s="12"/>
      <c r="G129" s="12">
        <v>80</v>
      </c>
      <c r="H129" s="12" t="s">
        <v>64</v>
      </c>
      <c r="I129" s="12"/>
      <c r="J129" s="12" t="s">
        <v>65</v>
      </c>
      <c r="K129" s="12" t="b">
        <v>1</v>
      </c>
      <c r="L129" s="12">
        <v>7</v>
      </c>
      <c r="M129" s="8">
        <v>2020</v>
      </c>
      <c r="N129" s="9">
        <v>6600000</v>
      </c>
      <c r="O129" s="13">
        <v>41578</v>
      </c>
      <c r="P129" s="13">
        <v>41578</v>
      </c>
    </row>
    <row r="130" spans="1:16">
      <c r="A130" s="10">
        <v>2013</v>
      </c>
      <c r="B130" s="11" t="s">
        <v>466</v>
      </c>
      <c r="C130" s="11" t="s">
        <v>467</v>
      </c>
      <c r="D130" s="12">
        <v>1021011</v>
      </c>
      <c r="E130" s="12">
        <v>1</v>
      </c>
      <c r="F130" s="12"/>
      <c r="G130" s="12">
        <v>80</v>
      </c>
      <c r="H130" s="12" t="s">
        <v>64</v>
      </c>
      <c r="I130" s="12"/>
      <c r="J130" s="12" t="s">
        <v>65</v>
      </c>
      <c r="K130" s="12" t="b">
        <v>1</v>
      </c>
      <c r="L130" s="12">
        <v>1</v>
      </c>
      <c r="M130" s="8">
        <v>2014</v>
      </c>
      <c r="N130" s="9">
        <v>6000000</v>
      </c>
      <c r="O130" s="13">
        <v>41578</v>
      </c>
      <c r="P130" s="13">
        <v>41578</v>
      </c>
    </row>
    <row r="131" spans="1:16">
      <c r="A131" s="10">
        <v>2013</v>
      </c>
      <c r="B131" s="11" t="s">
        <v>466</v>
      </c>
      <c r="C131" s="11" t="s">
        <v>467</v>
      </c>
      <c r="D131" s="12">
        <v>1021011</v>
      </c>
      <c r="E131" s="12">
        <v>1</v>
      </c>
      <c r="F131" s="12"/>
      <c r="G131" s="12">
        <v>80</v>
      </c>
      <c r="H131" s="12" t="s">
        <v>64</v>
      </c>
      <c r="I131" s="12"/>
      <c r="J131" s="12" t="s">
        <v>65</v>
      </c>
      <c r="K131" s="12" t="b">
        <v>1</v>
      </c>
      <c r="L131" s="12">
        <v>5</v>
      </c>
      <c r="M131" s="8">
        <v>2018</v>
      </c>
      <c r="N131" s="9">
        <v>6400000</v>
      </c>
      <c r="O131" s="13">
        <v>41578</v>
      </c>
      <c r="P131" s="13">
        <v>41578</v>
      </c>
    </row>
    <row r="132" spans="1:16">
      <c r="A132" s="10">
        <v>2013</v>
      </c>
      <c r="B132" s="11" t="s">
        <v>466</v>
      </c>
      <c r="C132" s="11" t="s">
        <v>467</v>
      </c>
      <c r="D132" s="12">
        <v>1021011</v>
      </c>
      <c r="E132" s="12">
        <v>1</v>
      </c>
      <c r="F132" s="12"/>
      <c r="G132" s="12">
        <v>80</v>
      </c>
      <c r="H132" s="12" t="s">
        <v>64</v>
      </c>
      <c r="I132" s="12"/>
      <c r="J132" s="12" t="s">
        <v>65</v>
      </c>
      <c r="K132" s="12" t="b">
        <v>1</v>
      </c>
      <c r="L132" s="12">
        <v>8</v>
      </c>
      <c r="M132" s="8">
        <v>2021</v>
      </c>
      <c r="N132" s="9">
        <v>6700000</v>
      </c>
      <c r="O132" s="13">
        <v>41578</v>
      </c>
      <c r="P132" s="13">
        <v>41578</v>
      </c>
    </row>
    <row r="133" spans="1:16">
      <c r="A133" s="10">
        <v>2013</v>
      </c>
      <c r="B133" s="11" t="s">
        <v>466</v>
      </c>
      <c r="C133" s="11" t="s">
        <v>467</v>
      </c>
      <c r="D133" s="12">
        <v>1021011</v>
      </c>
      <c r="E133" s="12">
        <v>1</v>
      </c>
      <c r="F133" s="12"/>
      <c r="G133" s="12">
        <v>80</v>
      </c>
      <c r="H133" s="12" t="s">
        <v>64</v>
      </c>
      <c r="I133" s="12"/>
      <c r="J133" s="12" t="s">
        <v>65</v>
      </c>
      <c r="K133" s="12" t="b">
        <v>1</v>
      </c>
      <c r="L133" s="12">
        <v>10</v>
      </c>
      <c r="M133" s="8">
        <v>2023</v>
      </c>
      <c r="N133" s="9">
        <v>6900000</v>
      </c>
      <c r="O133" s="13">
        <v>41578</v>
      </c>
      <c r="P133" s="13">
        <v>41578</v>
      </c>
    </row>
    <row r="134" spans="1:16">
      <c r="A134" s="10">
        <v>2013</v>
      </c>
      <c r="B134" s="11" t="s">
        <v>466</v>
      </c>
      <c r="C134" s="11" t="s">
        <v>467</v>
      </c>
      <c r="D134" s="12">
        <v>1021011</v>
      </c>
      <c r="E134" s="12">
        <v>1</v>
      </c>
      <c r="F134" s="12"/>
      <c r="G134" s="12">
        <v>80</v>
      </c>
      <c r="H134" s="12" t="s">
        <v>64</v>
      </c>
      <c r="I134" s="12"/>
      <c r="J134" s="12" t="s">
        <v>65</v>
      </c>
      <c r="K134" s="12" t="b">
        <v>1</v>
      </c>
      <c r="L134" s="12">
        <v>3</v>
      </c>
      <c r="M134" s="8">
        <v>2016</v>
      </c>
      <c r="N134" s="9">
        <v>6200000</v>
      </c>
      <c r="O134" s="13">
        <v>41578</v>
      </c>
      <c r="P134" s="13">
        <v>41578</v>
      </c>
    </row>
    <row r="135" spans="1:16">
      <c r="A135" s="10">
        <v>2013</v>
      </c>
      <c r="B135" s="11" t="s">
        <v>466</v>
      </c>
      <c r="C135" s="11" t="s">
        <v>467</v>
      </c>
      <c r="D135" s="12">
        <v>1021011</v>
      </c>
      <c r="E135" s="12">
        <v>1</v>
      </c>
      <c r="F135" s="12"/>
      <c r="G135" s="12">
        <v>80</v>
      </c>
      <c r="H135" s="12" t="s">
        <v>64</v>
      </c>
      <c r="I135" s="12"/>
      <c r="J135" s="12" t="s">
        <v>65</v>
      </c>
      <c r="K135" s="12" t="b">
        <v>1</v>
      </c>
      <c r="L135" s="12">
        <v>4</v>
      </c>
      <c r="M135" s="8">
        <v>2017</v>
      </c>
      <c r="N135" s="9">
        <v>6300000</v>
      </c>
      <c r="O135" s="13">
        <v>41578</v>
      </c>
      <c r="P135" s="13">
        <v>41578</v>
      </c>
    </row>
    <row r="136" spans="1:16">
      <c r="A136" s="10">
        <v>2013</v>
      </c>
      <c r="B136" s="11" t="s">
        <v>466</v>
      </c>
      <c r="C136" s="11" t="s">
        <v>467</v>
      </c>
      <c r="D136" s="12">
        <v>1021011</v>
      </c>
      <c r="E136" s="12">
        <v>1</v>
      </c>
      <c r="F136" s="12"/>
      <c r="G136" s="12">
        <v>80</v>
      </c>
      <c r="H136" s="12" t="s">
        <v>64</v>
      </c>
      <c r="I136" s="12"/>
      <c r="J136" s="12" t="s">
        <v>65</v>
      </c>
      <c r="K136" s="12" t="b">
        <v>1</v>
      </c>
      <c r="L136" s="12">
        <v>0</v>
      </c>
      <c r="M136" s="8">
        <v>2013</v>
      </c>
      <c r="N136" s="9">
        <v>8401953.5099999998</v>
      </c>
      <c r="O136" s="13">
        <v>41578</v>
      </c>
      <c r="P136" s="13">
        <v>41578</v>
      </c>
    </row>
    <row r="137" spans="1:16">
      <c r="A137" s="10">
        <v>2013</v>
      </c>
      <c r="B137" s="11" t="s">
        <v>466</v>
      </c>
      <c r="C137" s="11" t="s">
        <v>467</v>
      </c>
      <c r="D137" s="12">
        <v>1021011</v>
      </c>
      <c r="E137" s="12">
        <v>1</v>
      </c>
      <c r="F137" s="12"/>
      <c r="G137" s="12">
        <v>80</v>
      </c>
      <c r="H137" s="12" t="s">
        <v>64</v>
      </c>
      <c r="I137" s="12"/>
      <c r="J137" s="12" t="s">
        <v>65</v>
      </c>
      <c r="K137" s="12" t="b">
        <v>1</v>
      </c>
      <c r="L137" s="12">
        <v>2</v>
      </c>
      <c r="M137" s="8">
        <v>2015</v>
      </c>
      <c r="N137" s="9">
        <v>6100000</v>
      </c>
      <c r="O137" s="13">
        <v>41578</v>
      </c>
      <c r="P137" s="13">
        <v>41578</v>
      </c>
    </row>
    <row r="138" spans="1:16">
      <c r="A138" s="10">
        <v>2013</v>
      </c>
      <c r="B138" s="11" t="s">
        <v>466</v>
      </c>
      <c r="C138" s="11" t="s">
        <v>467</v>
      </c>
      <c r="D138" s="12">
        <v>1021011</v>
      </c>
      <c r="E138" s="12">
        <v>1</v>
      </c>
      <c r="F138" s="12"/>
      <c r="G138" s="12">
        <v>460</v>
      </c>
      <c r="H138" s="12">
        <v>9.1999999999999993</v>
      </c>
      <c r="I138" s="12" t="s">
        <v>472</v>
      </c>
      <c r="J138" s="12" t="s">
        <v>109</v>
      </c>
      <c r="K138" s="12" t="b">
        <v>0</v>
      </c>
      <c r="L138" s="12">
        <v>2</v>
      </c>
      <c r="M138" s="8">
        <v>2015</v>
      </c>
      <c r="N138" s="9">
        <v>5.9799999999999999E-2</v>
      </c>
      <c r="O138" s="13">
        <v>41578</v>
      </c>
      <c r="P138" s="13">
        <v>41578</v>
      </c>
    </row>
    <row r="139" spans="1:16">
      <c r="A139" s="10">
        <v>2013</v>
      </c>
      <c r="B139" s="11" t="s">
        <v>466</v>
      </c>
      <c r="C139" s="11" t="s">
        <v>467</v>
      </c>
      <c r="D139" s="12">
        <v>1021011</v>
      </c>
      <c r="E139" s="12">
        <v>1</v>
      </c>
      <c r="F139" s="12"/>
      <c r="G139" s="12">
        <v>460</v>
      </c>
      <c r="H139" s="12">
        <v>9.1999999999999993</v>
      </c>
      <c r="I139" s="12" t="s">
        <v>472</v>
      </c>
      <c r="J139" s="12" t="s">
        <v>109</v>
      </c>
      <c r="K139" s="12" t="b">
        <v>0</v>
      </c>
      <c r="L139" s="12">
        <v>6</v>
      </c>
      <c r="M139" s="8">
        <v>2019</v>
      </c>
      <c r="N139" s="9">
        <v>6.13E-2</v>
      </c>
      <c r="O139" s="13">
        <v>41578</v>
      </c>
      <c r="P139" s="13">
        <v>41578</v>
      </c>
    </row>
    <row r="140" spans="1:16">
      <c r="A140" s="10">
        <v>2013</v>
      </c>
      <c r="B140" s="11" t="s">
        <v>466</v>
      </c>
      <c r="C140" s="11" t="s">
        <v>467</v>
      </c>
      <c r="D140" s="12">
        <v>1021011</v>
      </c>
      <c r="E140" s="12">
        <v>1</v>
      </c>
      <c r="F140" s="12"/>
      <c r="G140" s="12">
        <v>300</v>
      </c>
      <c r="H140" s="12">
        <v>5</v>
      </c>
      <c r="I140" s="12" t="s">
        <v>473</v>
      </c>
      <c r="J140" s="12" t="s">
        <v>93</v>
      </c>
      <c r="K140" s="12" t="b">
        <v>0</v>
      </c>
      <c r="L140" s="12">
        <v>4</v>
      </c>
      <c r="M140" s="8">
        <v>2017</v>
      </c>
      <c r="N140" s="9">
        <v>1915700</v>
      </c>
      <c r="O140" s="13">
        <v>41578</v>
      </c>
      <c r="P140" s="13">
        <v>41578</v>
      </c>
    </row>
    <row r="141" spans="1:16">
      <c r="A141" s="10">
        <v>2013</v>
      </c>
      <c r="B141" s="11" t="s">
        <v>466</v>
      </c>
      <c r="C141" s="11" t="s">
        <v>467</v>
      </c>
      <c r="D141" s="12">
        <v>1021011</v>
      </c>
      <c r="E141" s="12">
        <v>1</v>
      </c>
      <c r="F141" s="12"/>
      <c r="G141" s="12">
        <v>300</v>
      </c>
      <c r="H141" s="12">
        <v>5</v>
      </c>
      <c r="I141" s="12" t="s">
        <v>473</v>
      </c>
      <c r="J141" s="12" t="s">
        <v>93</v>
      </c>
      <c r="K141" s="12" t="b">
        <v>0</v>
      </c>
      <c r="L141" s="12">
        <v>8</v>
      </c>
      <c r="M141" s="8">
        <v>2021</v>
      </c>
      <c r="N141" s="9">
        <v>1610004</v>
      </c>
      <c r="O141" s="13">
        <v>41578</v>
      </c>
      <c r="P141" s="13">
        <v>41578</v>
      </c>
    </row>
    <row r="142" spans="1:16">
      <c r="A142" s="10">
        <v>2013</v>
      </c>
      <c r="B142" s="11" t="s">
        <v>466</v>
      </c>
      <c r="C142" s="11" t="s">
        <v>467</v>
      </c>
      <c r="D142" s="12">
        <v>1021011</v>
      </c>
      <c r="E142" s="12">
        <v>1</v>
      </c>
      <c r="F142" s="12"/>
      <c r="G142" s="12">
        <v>460</v>
      </c>
      <c r="H142" s="12">
        <v>9.1999999999999993</v>
      </c>
      <c r="I142" s="12" t="s">
        <v>472</v>
      </c>
      <c r="J142" s="12" t="s">
        <v>109</v>
      </c>
      <c r="K142" s="12" t="b">
        <v>0</v>
      </c>
      <c r="L142" s="12">
        <v>7</v>
      </c>
      <c r="M142" s="8">
        <v>2020</v>
      </c>
      <c r="N142" s="9">
        <v>5.8400000000000001E-2</v>
      </c>
      <c r="O142" s="13">
        <v>41578</v>
      </c>
      <c r="P142" s="13">
        <v>41578</v>
      </c>
    </row>
    <row r="143" spans="1:16">
      <c r="A143" s="10">
        <v>2013</v>
      </c>
      <c r="B143" s="11" t="s">
        <v>466</v>
      </c>
      <c r="C143" s="11" t="s">
        <v>467</v>
      </c>
      <c r="D143" s="12">
        <v>1021011</v>
      </c>
      <c r="E143" s="12">
        <v>1</v>
      </c>
      <c r="F143" s="12"/>
      <c r="G143" s="12">
        <v>460</v>
      </c>
      <c r="H143" s="12">
        <v>9.1999999999999993</v>
      </c>
      <c r="I143" s="12" t="s">
        <v>472</v>
      </c>
      <c r="J143" s="12" t="s">
        <v>109</v>
      </c>
      <c r="K143" s="12" t="b">
        <v>0</v>
      </c>
      <c r="L143" s="12">
        <v>3</v>
      </c>
      <c r="M143" s="8">
        <v>2016</v>
      </c>
      <c r="N143" s="9">
        <v>6.9199999999999998E-2</v>
      </c>
      <c r="O143" s="13">
        <v>41578</v>
      </c>
      <c r="P143" s="13">
        <v>41578</v>
      </c>
    </row>
    <row r="144" spans="1:16">
      <c r="A144" s="10">
        <v>2013</v>
      </c>
      <c r="B144" s="11" t="s">
        <v>466</v>
      </c>
      <c r="C144" s="11" t="s">
        <v>467</v>
      </c>
      <c r="D144" s="12">
        <v>1021011</v>
      </c>
      <c r="E144" s="12">
        <v>1</v>
      </c>
      <c r="F144" s="12"/>
      <c r="G144" s="12">
        <v>460</v>
      </c>
      <c r="H144" s="12">
        <v>9.1999999999999993</v>
      </c>
      <c r="I144" s="12" t="s">
        <v>472</v>
      </c>
      <c r="J144" s="12" t="s">
        <v>109</v>
      </c>
      <c r="K144" s="12" t="b">
        <v>0</v>
      </c>
      <c r="L144" s="12">
        <v>10</v>
      </c>
      <c r="M144" s="8">
        <v>2023</v>
      </c>
      <c r="N144" s="9">
        <v>5.2499999999999998E-2</v>
      </c>
      <c r="O144" s="13">
        <v>41578</v>
      </c>
      <c r="P144" s="13">
        <v>41578</v>
      </c>
    </row>
    <row r="145" spans="1:16">
      <c r="A145" s="10">
        <v>2013</v>
      </c>
      <c r="B145" s="11" t="s">
        <v>466</v>
      </c>
      <c r="C145" s="11" t="s">
        <v>467</v>
      </c>
      <c r="D145" s="12">
        <v>1021011</v>
      </c>
      <c r="E145" s="12">
        <v>1</v>
      </c>
      <c r="F145" s="12"/>
      <c r="G145" s="12">
        <v>460</v>
      </c>
      <c r="H145" s="12">
        <v>9.1999999999999993</v>
      </c>
      <c r="I145" s="12" t="s">
        <v>472</v>
      </c>
      <c r="J145" s="12" t="s">
        <v>109</v>
      </c>
      <c r="K145" s="12" t="b">
        <v>0</v>
      </c>
      <c r="L145" s="12">
        <v>5</v>
      </c>
      <c r="M145" s="8">
        <v>2018</v>
      </c>
      <c r="N145" s="9">
        <v>6.6299999999999998E-2</v>
      </c>
      <c r="O145" s="13">
        <v>41578</v>
      </c>
      <c r="P145" s="13">
        <v>41578</v>
      </c>
    </row>
    <row r="146" spans="1:16">
      <c r="A146" s="10">
        <v>2013</v>
      </c>
      <c r="B146" s="11" t="s">
        <v>466</v>
      </c>
      <c r="C146" s="11" t="s">
        <v>467</v>
      </c>
      <c r="D146" s="12">
        <v>1021011</v>
      </c>
      <c r="E146" s="12">
        <v>1</v>
      </c>
      <c r="F146" s="12"/>
      <c r="G146" s="12">
        <v>460</v>
      </c>
      <c r="H146" s="12">
        <v>9.1999999999999993</v>
      </c>
      <c r="I146" s="12" t="s">
        <v>472</v>
      </c>
      <c r="J146" s="12" t="s">
        <v>109</v>
      </c>
      <c r="K146" s="12" t="b">
        <v>0</v>
      </c>
      <c r="L146" s="12">
        <v>0</v>
      </c>
      <c r="M146" s="8">
        <v>2013</v>
      </c>
      <c r="N146" s="9">
        <v>0.14560000000000001</v>
      </c>
      <c r="O146" s="13">
        <v>41578</v>
      </c>
      <c r="P146" s="13">
        <v>41578</v>
      </c>
    </row>
    <row r="147" spans="1:16">
      <c r="A147" s="10">
        <v>2013</v>
      </c>
      <c r="B147" s="11" t="s">
        <v>466</v>
      </c>
      <c r="C147" s="11" t="s">
        <v>467</v>
      </c>
      <c r="D147" s="12">
        <v>1021011</v>
      </c>
      <c r="E147" s="12">
        <v>1</v>
      </c>
      <c r="F147" s="12"/>
      <c r="G147" s="12">
        <v>460</v>
      </c>
      <c r="H147" s="12">
        <v>9.1999999999999993</v>
      </c>
      <c r="I147" s="12" t="s">
        <v>472</v>
      </c>
      <c r="J147" s="12" t="s">
        <v>109</v>
      </c>
      <c r="K147" s="12" t="b">
        <v>0</v>
      </c>
      <c r="L147" s="12">
        <v>9</v>
      </c>
      <c r="M147" s="8">
        <v>2022</v>
      </c>
      <c r="N147" s="9">
        <v>5.3199999999999997E-2</v>
      </c>
      <c r="O147" s="13">
        <v>41578</v>
      </c>
      <c r="P147" s="13">
        <v>41578</v>
      </c>
    </row>
    <row r="148" spans="1:16">
      <c r="A148" s="10">
        <v>2013</v>
      </c>
      <c r="B148" s="11" t="s">
        <v>466</v>
      </c>
      <c r="C148" s="11" t="s">
        <v>467</v>
      </c>
      <c r="D148" s="12">
        <v>1021011</v>
      </c>
      <c r="E148" s="12">
        <v>1</v>
      </c>
      <c r="F148" s="12"/>
      <c r="G148" s="12">
        <v>460</v>
      </c>
      <c r="H148" s="12">
        <v>9.1999999999999993</v>
      </c>
      <c r="I148" s="12" t="s">
        <v>472</v>
      </c>
      <c r="J148" s="12" t="s">
        <v>109</v>
      </c>
      <c r="K148" s="12" t="b">
        <v>0</v>
      </c>
      <c r="L148" s="12">
        <v>1</v>
      </c>
      <c r="M148" s="8">
        <v>2014</v>
      </c>
      <c r="N148" s="9">
        <v>5.2400000000000002E-2</v>
      </c>
      <c r="O148" s="13">
        <v>41578</v>
      </c>
      <c r="P148" s="13">
        <v>41578</v>
      </c>
    </row>
    <row r="149" spans="1:16">
      <c r="A149" s="10">
        <v>2013</v>
      </c>
      <c r="B149" s="11" t="s">
        <v>466</v>
      </c>
      <c r="C149" s="11" t="s">
        <v>467</v>
      </c>
      <c r="D149" s="12">
        <v>1021011</v>
      </c>
      <c r="E149" s="12">
        <v>1</v>
      </c>
      <c r="F149" s="12"/>
      <c r="G149" s="12">
        <v>460</v>
      </c>
      <c r="H149" s="12">
        <v>9.1999999999999993</v>
      </c>
      <c r="I149" s="12" t="s">
        <v>472</v>
      </c>
      <c r="J149" s="12" t="s">
        <v>109</v>
      </c>
      <c r="K149" s="12" t="b">
        <v>0</v>
      </c>
      <c r="L149" s="12">
        <v>8</v>
      </c>
      <c r="M149" s="8">
        <v>2021</v>
      </c>
      <c r="N149" s="9">
        <v>5.5800000000000002E-2</v>
      </c>
      <c r="O149" s="13">
        <v>41578</v>
      </c>
      <c r="P149" s="13">
        <v>41578</v>
      </c>
    </row>
    <row r="150" spans="1:16">
      <c r="A150" s="10">
        <v>2013</v>
      </c>
      <c r="B150" s="11" t="s">
        <v>466</v>
      </c>
      <c r="C150" s="11" t="s">
        <v>467</v>
      </c>
      <c r="D150" s="12">
        <v>1021011</v>
      </c>
      <c r="E150" s="12">
        <v>1</v>
      </c>
      <c r="F150" s="12"/>
      <c r="G150" s="12">
        <v>460</v>
      </c>
      <c r="H150" s="12">
        <v>9.1999999999999993</v>
      </c>
      <c r="I150" s="12" t="s">
        <v>472</v>
      </c>
      <c r="J150" s="12" t="s">
        <v>109</v>
      </c>
      <c r="K150" s="12" t="b">
        <v>0</v>
      </c>
      <c r="L150" s="12">
        <v>4</v>
      </c>
      <c r="M150" s="8">
        <v>2017</v>
      </c>
      <c r="N150" s="9">
        <v>7.6899999999999996E-2</v>
      </c>
      <c r="O150" s="13">
        <v>41578</v>
      </c>
      <c r="P150" s="13">
        <v>41578</v>
      </c>
    </row>
    <row r="151" spans="1:16">
      <c r="A151" s="10">
        <v>2013</v>
      </c>
      <c r="B151" s="11" t="s">
        <v>466</v>
      </c>
      <c r="C151" s="11" t="s">
        <v>467</v>
      </c>
      <c r="D151" s="12">
        <v>1021011</v>
      </c>
      <c r="E151" s="12">
        <v>1</v>
      </c>
      <c r="F151" s="12"/>
      <c r="G151" s="12">
        <v>300</v>
      </c>
      <c r="H151" s="12">
        <v>5</v>
      </c>
      <c r="I151" s="12" t="s">
        <v>473</v>
      </c>
      <c r="J151" s="12" t="s">
        <v>93</v>
      </c>
      <c r="K151" s="12" t="b">
        <v>0</v>
      </c>
      <c r="L151" s="12">
        <v>1</v>
      </c>
      <c r="M151" s="8">
        <v>2014</v>
      </c>
      <c r="N151" s="9">
        <v>938060.16</v>
      </c>
      <c r="O151" s="13">
        <v>41578</v>
      </c>
      <c r="P151" s="13">
        <v>41578</v>
      </c>
    </row>
    <row r="152" spans="1:16">
      <c r="A152" s="10">
        <v>2013</v>
      </c>
      <c r="B152" s="11" t="s">
        <v>466</v>
      </c>
      <c r="C152" s="11" t="s">
        <v>467</v>
      </c>
      <c r="D152" s="12">
        <v>1021011</v>
      </c>
      <c r="E152" s="12">
        <v>1</v>
      </c>
      <c r="F152" s="12"/>
      <c r="G152" s="12">
        <v>300</v>
      </c>
      <c r="H152" s="12">
        <v>5</v>
      </c>
      <c r="I152" s="12" t="s">
        <v>473</v>
      </c>
      <c r="J152" s="12" t="s">
        <v>93</v>
      </c>
      <c r="K152" s="12" t="b">
        <v>0</v>
      </c>
      <c r="L152" s="12">
        <v>3</v>
      </c>
      <c r="M152" s="8">
        <v>2016</v>
      </c>
      <c r="N152" s="9">
        <v>1565696</v>
      </c>
      <c r="O152" s="13">
        <v>41578</v>
      </c>
      <c r="P152" s="13">
        <v>41578</v>
      </c>
    </row>
    <row r="153" spans="1:16">
      <c r="A153" s="10">
        <v>2013</v>
      </c>
      <c r="B153" s="11" t="s">
        <v>466</v>
      </c>
      <c r="C153" s="11" t="s">
        <v>467</v>
      </c>
      <c r="D153" s="12">
        <v>1021011</v>
      </c>
      <c r="E153" s="12">
        <v>1</v>
      </c>
      <c r="F153" s="12"/>
      <c r="G153" s="12">
        <v>300</v>
      </c>
      <c r="H153" s="12">
        <v>5</v>
      </c>
      <c r="I153" s="12" t="s">
        <v>473</v>
      </c>
      <c r="J153" s="12" t="s">
        <v>93</v>
      </c>
      <c r="K153" s="12" t="b">
        <v>0</v>
      </c>
      <c r="L153" s="12">
        <v>9</v>
      </c>
      <c r="M153" s="8">
        <v>2022</v>
      </c>
      <c r="N153" s="9">
        <v>1650004</v>
      </c>
      <c r="O153" s="13">
        <v>41578</v>
      </c>
      <c r="P153" s="13">
        <v>41578</v>
      </c>
    </row>
    <row r="154" spans="1:16">
      <c r="A154" s="10">
        <v>2013</v>
      </c>
      <c r="B154" s="11" t="s">
        <v>466</v>
      </c>
      <c r="C154" s="11" t="s">
        <v>467</v>
      </c>
      <c r="D154" s="12">
        <v>1021011</v>
      </c>
      <c r="E154" s="12">
        <v>1</v>
      </c>
      <c r="F154" s="12"/>
      <c r="G154" s="12">
        <v>300</v>
      </c>
      <c r="H154" s="12">
        <v>5</v>
      </c>
      <c r="I154" s="12" t="s">
        <v>473</v>
      </c>
      <c r="J154" s="12" t="s">
        <v>93</v>
      </c>
      <c r="K154" s="12" t="b">
        <v>0</v>
      </c>
      <c r="L154" s="12">
        <v>0</v>
      </c>
      <c r="M154" s="8">
        <v>2013</v>
      </c>
      <c r="N154" s="9">
        <v>4710000</v>
      </c>
      <c r="O154" s="13">
        <v>41578</v>
      </c>
      <c r="P154" s="13">
        <v>41578</v>
      </c>
    </row>
    <row r="155" spans="1:16">
      <c r="A155" s="10">
        <v>2013</v>
      </c>
      <c r="B155" s="11" t="s">
        <v>466</v>
      </c>
      <c r="C155" s="11" t="s">
        <v>467</v>
      </c>
      <c r="D155" s="12">
        <v>1021011</v>
      </c>
      <c r="E155" s="12">
        <v>1</v>
      </c>
      <c r="F155" s="12"/>
      <c r="G155" s="12">
        <v>300</v>
      </c>
      <c r="H155" s="12">
        <v>5</v>
      </c>
      <c r="I155" s="12" t="s">
        <v>473</v>
      </c>
      <c r="J155" s="12" t="s">
        <v>93</v>
      </c>
      <c r="K155" s="12" t="b">
        <v>0</v>
      </c>
      <c r="L155" s="12">
        <v>6</v>
      </c>
      <c r="M155" s="8">
        <v>2019</v>
      </c>
      <c r="N155" s="9">
        <v>1610004</v>
      </c>
      <c r="O155" s="13">
        <v>41578</v>
      </c>
      <c r="P155" s="13">
        <v>41578</v>
      </c>
    </row>
    <row r="156" spans="1:16">
      <c r="A156" s="10">
        <v>2013</v>
      </c>
      <c r="B156" s="11" t="s">
        <v>466</v>
      </c>
      <c r="C156" s="11" t="s">
        <v>467</v>
      </c>
      <c r="D156" s="12">
        <v>1021011</v>
      </c>
      <c r="E156" s="12">
        <v>1</v>
      </c>
      <c r="F156" s="12"/>
      <c r="G156" s="12">
        <v>300</v>
      </c>
      <c r="H156" s="12">
        <v>5</v>
      </c>
      <c r="I156" s="12" t="s">
        <v>473</v>
      </c>
      <c r="J156" s="12" t="s">
        <v>93</v>
      </c>
      <c r="K156" s="12" t="b">
        <v>0</v>
      </c>
      <c r="L156" s="12">
        <v>5</v>
      </c>
      <c r="M156" s="8">
        <v>2018</v>
      </c>
      <c r="N156" s="9">
        <v>1678204</v>
      </c>
      <c r="O156" s="13">
        <v>41578</v>
      </c>
      <c r="P156" s="13">
        <v>41578</v>
      </c>
    </row>
    <row r="157" spans="1:16">
      <c r="A157" s="10">
        <v>2013</v>
      </c>
      <c r="B157" s="11" t="s">
        <v>466</v>
      </c>
      <c r="C157" s="11" t="s">
        <v>467</v>
      </c>
      <c r="D157" s="12">
        <v>1021011</v>
      </c>
      <c r="E157" s="12">
        <v>1</v>
      </c>
      <c r="F157" s="12"/>
      <c r="G157" s="12">
        <v>300</v>
      </c>
      <c r="H157" s="12">
        <v>5</v>
      </c>
      <c r="I157" s="12" t="s">
        <v>473</v>
      </c>
      <c r="J157" s="12" t="s">
        <v>93</v>
      </c>
      <c r="K157" s="12" t="b">
        <v>0</v>
      </c>
      <c r="L157" s="12">
        <v>7</v>
      </c>
      <c r="M157" s="8">
        <v>2020</v>
      </c>
      <c r="N157" s="9">
        <v>1610004</v>
      </c>
      <c r="O157" s="13">
        <v>41578</v>
      </c>
      <c r="P157" s="13">
        <v>41578</v>
      </c>
    </row>
    <row r="158" spans="1:16">
      <c r="A158" s="10">
        <v>2013</v>
      </c>
      <c r="B158" s="11" t="s">
        <v>466</v>
      </c>
      <c r="C158" s="11" t="s">
        <v>467</v>
      </c>
      <c r="D158" s="12">
        <v>1021011</v>
      </c>
      <c r="E158" s="12">
        <v>1</v>
      </c>
      <c r="F158" s="12"/>
      <c r="G158" s="12">
        <v>300</v>
      </c>
      <c r="H158" s="12">
        <v>5</v>
      </c>
      <c r="I158" s="12" t="s">
        <v>473</v>
      </c>
      <c r="J158" s="12" t="s">
        <v>93</v>
      </c>
      <c r="K158" s="12" t="b">
        <v>0</v>
      </c>
      <c r="L158" s="12">
        <v>2</v>
      </c>
      <c r="M158" s="8">
        <v>2015</v>
      </c>
      <c r="N158" s="9">
        <v>1215692</v>
      </c>
      <c r="O158" s="13">
        <v>41578</v>
      </c>
      <c r="P158" s="13">
        <v>41578</v>
      </c>
    </row>
    <row r="159" spans="1:16">
      <c r="A159" s="10">
        <v>2013</v>
      </c>
      <c r="B159" s="11" t="s">
        <v>466</v>
      </c>
      <c r="C159" s="11" t="s">
        <v>467</v>
      </c>
      <c r="D159" s="12">
        <v>1021011</v>
      </c>
      <c r="E159" s="12">
        <v>1</v>
      </c>
      <c r="F159" s="12"/>
      <c r="G159" s="12">
        <v>300</v>
      </c>
      <c r="H159" s="12">
        <v>5</v>
      </c>
      <c r="I159" s="12" t="s">
        <v>473</v>
      </c>
      <c r="J159" s="12" t="s">
        <v>93</v>
      </c>
      <c r="K159" s="12" t="b">
        <v>0</v>
      </c>
      <c r="L159" s="12">
        <v>10</v>
      </c>
      <c r="M159" s="8">
        <v>2023</v>
      </c>
      <c r="N159" s="9">
        <v>1710000</v>
      </c>
      <c r="O159" s="13">
        <v>41578</v>
      </c>
      <c r="P159" s="13">
        <v>41578</v>
      </c>
    </row>
    <row r="160" spans="1:16">
      <c r="A160" s="10">
        <v>2013</v>
      </c>
      <c r="B160" s="11" t="s">
        <v>466</v>
      </c>
      <c r="C160" s="11" t="s">
        <v>467</v>
      </c>
      <c r="D160" s="12">
        <v>1021011</v>
      </c>
      <c r="E160" s="12">
        <v>1</v>
      </c>
      <c r="F160" s="12"/>
      <c r="G160" s="12">
        <v>560</v>
      </c>
      <c r="H160" s="12">
        <v>10.1</v>
      </c>
      <c r="I160" s="12"/>
      <c r="J160" s="12" t="s">
        <v>122</v>
      </c>
      <c r="K160" s="12" t="b">
        <v>0</v>
      </c>
      <c r="L160" s="12">
        <v>10</v>
      </c>
      <c r="M160" s="8">
        <v>2023</v>
      </c>
      <c r="N160" s="9">
        <v>1710000</v>
      </c>
      <c r="O160" s="13">
        <v>41578</v>
      </c>
      <c r="P160" s="13">
        <v>41578</v>
      </c>
    </row>
    <row r="161" spans="1:16">
      <c r="A161" s="10">
        <v>2013</v>
      </c>
      <c r="B161" s="11" t="s">
        <v>466</v>
      </c>
      <c r="C161" s="11" t="s">
        <v>467</v>
      </c>
      <c r="D161" s="12">
        <v>1021011</v>
      </c>
      <c r="E161" s="12">
        <v>1</v>
      </c>
      <c r="F161" s="12"/>
      <c r="G161" s="12">
        <v>560</v>
      </c>
      <c r="H161" s="12">
        <v>10.1</v>
      </c>
      <c r="I161" s="12"/>
      <c r="J161" s="12" t="s">
        <v>122</v>
      </c>
      <c r="K161" s="12" t="b">
        <v>0</v>
      </c>
      <c r="L161" s="12">
        <v>7</v>
      </c>
      <c r="M161" s="8">
        <v>2020</v>
      </c>
      <c r="N161" s="9">
        <v>1610004</v>
      </c>
      <c r="O161" s="13">
        <v>41578</v>
      </c>
      <c r="P161" s="13">
        <v>41578</v>
      </c>
    </row>
    <row r="162" spans="1:16">
      <c r="A162" s="10">
        <v>2013</v>
      </c>
      <c r="B162" s="11" t="s">
        <v>466</v>
      </c>
      <c r="C162" s="11" t="s">
        <v>467</v>
      </c>
      <c r="D162" s="12">
        <v>1021011</v>
      </c>
      <c r="E162" s="12">
        <v>1</v>
      </c>
      <c r="F162" s="12"/>
      <c r="G162" s="12">
        <v>560</v>
      </c>
      <c r="H162" s="12">
        <v>10.1</v>
      </c>
      <c r="I162" s="12"/>
      <c r="J162" s="12" t="s">
        <v>122</v>
      </c>
      <c r="K162" s="12" t="b">
        <v>0</v>
      </c>
      <c r="L162" s="12">
        <v>2</v>
      </c>
      <c r="M162" s="8">
        <v>2015</v>
      </c>
      <c r="N162" s="9">
        <v>1215692</v>
      </c>
      <c r="O162" s="13">
        <v>41578</v>
      </c>
      <c r="P162" s="13">
        <v>41578</v>
      </c>
    </row>
    <row r="163" spans="1:16">
      <c r="A163" s="10">
        <v>2013</v>
      </c>
      <c r="B163" s="11" t="s">
        <v>466</v>
      </c>
      <c r="C163" s="11" t="s">
        <v>467</v>
      </c>
      <c r="D163" s="12">
        <v>1021011</v>
      </c>
      <c r="E163" s="12">
        <v>1</v>
      </c>
      <c r="F163" s="12"/>
      <c r="G163" s="12">
        <v>560</v>
      </c>
      <c r="H163" s="12">
        <v>10.1</v>
      </c>
      <c r="I163" s="12"/>
      <c r="J163" s="12" t="s">
        <v>122</v>
      </c>
      <c r="K163" s="12" t="b">
        <v>0</v>
      </c>
      <c r="L163" s="12">
        <v>6</v>
      </c>
      <c r="M163" s="8">
        <v>2019</v>
      </c>
      <c r="N163" s="9">
        <v>1610004</v>
      </c>
      <c r="O163" s="13">
        <v>41578</v>
      </c>
      <c r="P163" s="13">
        <v>41578</v>
      </c>
    </row>
    <row r="164" spans="1:16">
      <c r="A164" s="10">
        <v>2013</v>
      </c>
      <c r="B164" s="11" t="s">
        <v>466</v>
      </c>
      <c r="C164" s="11" t="s">
        <v>467</v>
      </c>
      <c r="D164" s="12">
        <v>1021011</v>
      </c>
      <c r="E164" s="12">
        <v>1</v>
      </c>
      <c r="F164" s="12"/>
      <c r="G164" s="12">
        <v>560</v>
      </c>
      <c r="H164" s="12">
        <v>10.1</v>
      </c>
      <c r="I164" s="12"/>
      <c r="J164" s="12" t="s">
        <v>122</v>
      </c>
      <c r="K164" s="12" t="b">
        <v>0</v>
      </c>
      <c r="L164" s="12">
        <v>5</v>
      </c>
      <c r="M164" s="8">
        <v>2018</v>
      </c>
      <c r="N164" s="9">
        <v>1678204</v>
      </c>
      <c r="O164" s="13">
        <v>41578</v>
      </c>
      <c r="P164" s="13">
        <v>41578</v>
      </c>
    </row>
    <row r="165" spans="1:16">
      <c r="A165" s="10">
        <v>2013</v>
      </c>
      <c r="B165" s="11" t="s">
        <v>466</v>
      </c>
      <c r="C165" s="11" t="s">
        <v>467</v>
      </c>
      <c r="D165" s="12">
        <v>1021011</v>
      </c>
      <c r="E165" s="12">
        <v>1</v>
      </c>
      <c r="F165" s="12"/>
      <c r="G165" s="12">
        <v>560</v>
      </c>
      <c r="H165" s="12">
        <v>10.1</v>
      </c>
      <c r="I165" s="12"/>
      <c r="J165" s="12" t="s">
        <v>122</v>
      </c>
      <c r="K165" s="12" t="b">
        <v>0</v>
      </c>
      <c r="L165" s="12">
        <v>8</v>
      </c>
      <c r="M165" s="8">
        <v>2021</v>
      </c>
      <c r="N165" s="9">
        <v>1610004</v>
      </c>
      <c r="O165" s="13">
        <v>41578</v>
      </c>
      <c r="P165" s="13">
        <v>41578</v>
      </c>
    </row>
    <row r="166" spans="1:16">
      <c r="A166" s="10">
        <v>2013</v>
      </c>
      <c r="B166" s="11" t="s">
        <v>466</v>
      </c>
      <c r="C166" s="11" t="s">
        <v>467</v>
      </c>
      <c r="D166" s="12">
        <v>1021011</v>
      </c>
      <c r="E166" s="12">
        <v>1</v>
      </c>
      <c r="F166" s="12"/>
      <c r="G166" s="12">
        <v>560</v>
      </c>
      <c r="H166" s="12">
        <v>10.1</v>
      </c>
      <c r="I166" s="12"/>
      <c r="J166" s="12" t="s">
        <v>122</v>
      </c>
      <c r="K166" s="12" t="b">
        <v>0</v>
      </c>
      <c r="L166" s="12">
        <v>3</v>
      </c>
      <c r="M166" s="8">
        <v>2016</v>
      </c>
      <c r="N166" s="9">
        <v>1565696</v>
      </c>
      <c r="O166" s="13">
        <v>41578</v>
      </c>
      <c r="P166" s="13">
        <v>41578</v>
      </c>
    </row>
    <row r="167" spans="1:16">
      <c r="A167" s="10">
        <v>2013</v>
      </c>
      <c r="B167" s="11" t="s">
        <v>466</v>
      </c>
      <c r="C167" s="11" t="s">
        <v>467</v>
      </c>
      <c r="D167" s="12">
        <v>1021011</v>
      </c>
      <c r="E167" s="12">
        <v>1</v>
      </c>
      <c r="F167" s="12"/>
      <c r="G167" s="12">
        <v>560</v>
      </c>
      <c r="H167" s="12">
        <v>10.1</v>
      </c>
      <c r="I167" s="12"/>
      <c r="J167" s="12" t="s">
        <v>122</v>
      </c>
      <c r="K167" s="12" t="b">
        <v>0</v>
      </c>
      <c r="L167" s="12">
        <v>4</v>
      </c>
      <c r="M167" s="8">
        <v>2017</v>
      </c>
      <c r="N167" s="9">
        <v>1915700</v>
      </c>
      <c r="O167" s="13">
        <v>41578</v>
      </c>
      <c r="P167" s="13">
        <v>41578</v>
      </c>
    </row>
    <row r="168" spans="1:16">
      <c r="A168" s="10">
        <v>2013</v>
      </c>
      <c r="B168" s="11" t="s">
        <v>466</v>
      </c>
      <c r="C168" s="11" t="s">
        <v>467</v>
      </c>
      <c r="D168" s="12">
        <v>1021011</v>
      </c>
      <c r="E168" s="12">
        <v>1</v>
      </c>
      <c r="F168" s="12"/>
      <c r="G168" s="12">
        <v>560</v>
      </c>
      <c r="H168" s="12">
        <v>10.1</v>
      </c>
      <c r="I168" s="12"/>
      <c r="J168" s="12" t="s">
        <v>122</v>
      </c>
      <c r="K168" s="12" t="b">
        <v>0</v>
      </c>
      <c r="L168" s="12">
        <v>1</v>
      </c>
      <c r="M168" s="8">
        <v>2014</v>
      </c>
      <c r="N168" s="9">
        <v>938060.16</v>
      </c>
      <c r="O168" s="13">
        <v>41578</v>
      </c>
      <c r="P168" s="13">
        <v>41578</v>
      </c>
    </row>
    <row r="169" spans="1:16">
      <c r="A169" s="10">
        <v>2013</v>
      </c>
      <c r="B169" s="11" t="s">
        <v>466</v>
      </c>
      <c r="C169" s="11" t="s">
        <v>467</v>
      </c>
      <c r="D169" s="12">
        <v>1021011</v>
      </c>
      <c r="E169" s="12">
        <v>1</v>
      </c>
      <c r="F169" s="12"/>
      <c r="G169" s="12">
        <v>560</v>
      </c>
      <c r="H169" s="12">
        <v>10.1</v>
      </c>
      <c r="I169" s="12"/>
      <c r="J169" s="12" t="s">
        <v>122</v>
      </c>
      <c r="K169" s="12" t="b">
        <v>0</v>
      </c>
      <c r="L169" s="12">
        <v>9</v>
      </c>
      <c r="M169" s="8">
        <v>2022</v>
      </c>
      <c r="N169" s="9">
        <v>1650004</v>
      </c>
      <c r="O169" s="13">
        <v>41578</v>
      </c>
      <c r="P169" s="13">
        <v>41578</v>
      </c>
    </row>
    <row r="170" spans="1:16">
      <c r="A170" s="10">
        <v>2013</v>
      </c>
      <c r="B170" s="11" t="s">
        <v>466</v>
      </c>
      <c r="C170" s="11" t="s">
        <v>467</v>
      </c>
      <c r="D170" s="12">
        <v>1021011</v>
      </c>
      <c r="E170" s="12">
        <v>1</v>
      </c>
      <c r="F170" s="12"/>
      <c r="G170" s="12">
        <v>700</v>
      </c>
      <c r="H170" s="12">
        <v>12.2</v>
      </c>
      <c r="I170" s="12"/>
      <c r="J170" s="12" t="s">
        <v>140</v>
      </c>
      <c r="K170" s="12" t="b">
        <v>0</v>
      </c>
      <c r="L170" s="12">
        <v>0</v>
      </c>
      <c r="M170" s="8">
        <v>2013</v>
      </c>
      <c r="N170" s="9">
        <v>3109680.36</v>
      </c>
      <c r="O170" s="13">
        <v>41578</v>
      </c>
      <c r="P170" s="13">
        <v>41578</v>
      </c>
    </row>
    <row r="171" spans="1:16">
      <c r="A171" s="10">
        <v>2013</v>
      </c>
      <c r="B171" s="11" t="s">
        <v>466</v>
      </c>
      <c r="C171" s="11" t="s">
        <v>467</v>
      </c>
      <c r="D171" s="12">
        <v>1021011</v>
      </c>
      <c r="E171" s="12">
        <v>1</v>
      </c>
      <c r="F171" s="12"/>
      <c r="G171" s="12">
        <v>630</v>
      </c>
      <c r="H171" s="12">
        <v>11.4</v>
      </c>
      <c r="I171" s="12"/>
      <c r="J171" s="12" t="s">
        <v>131</v>
      </c>
      <c r="K171" s="12" t="b">
        <v>1</v>
      </c>
      <c r="L171" s="12">
        <v>0</v>
      </c>
      <c r="M171" s="8">
        <v>2013</v>
      </c>
      <c r="N171" s="9">
        <v>5060975.58</v>
      </c>
      <c r="O171" s="13">
        <v>41578</v>
      </c>
      <c r="P171" s="13">
        <v>41578</v>
      </c>
    </row>
    <row r="172" spans="1:16">
      <c r="A172" s="10">
        <v>2013</v>
      </c>
      <c r="B172" s="11" t="s">
        <v>466</v>
      </c>
      <c r="C172" s="11" t="s">
        <v>467</v>
      </c>
      <c r="D172" s="12">
        <v>1021011</v>
      </c>
      <c r="E172" s="12">
        <v>1</v>
      </c>
      <c r="F172" s="12"/>
      <c r="G172" s="12">
        <v>120</v>
      </c>
      <c r="H172" s="12">
        <v>2</v>
      </c>
      <c r="I172" s="12" t="s">
        <v>0</v>
      </c>
      <c r="J172" s="12" t="s">
        <v>34</v>
      </c>
      <c r="K172" s="12" t="b">
        <v>0</v>
      </c>
      <c r="L172" s="12">
        <v>8</v>
      </c>
      <c r="M172" s="8">
        <v>2021</v>
      </c>
      <c r="N172" s="9">
        <v>32389996</v>
      </c>
      <c r="O172" s="13">
        <v>41578</v>
      </c>
      <c r="P172" s="13">
        <v>41578</v>
      </c>
    </row>
    <row r="173" spans="1:16">
      <c r="A173" s="10">
        <v>2013</v>
      </c>
      <c r="B173" s="11" t="s">
        <v>466</v>
      </c>
      <c r="C173" s="11" t="s">
        <v>467</v>
      </c>
      <c r="D173" s="12">
        <v>1021011</v>
      </c>
      <c r="E173" s="12">
        <v>1</v>
      </c>
      <c r="F173" s="12"/>
      <c r="G173" s="12">
        <v>120</v>
      </c>
      <c r="H173" s="12">
        <v>2</v>
      </c>
      <c r="I173" s="12" t="s">
        <v>0</v>
      </c>
      <c r="J173" s="12" t="s">
        <v>34</v>
      </c>
      <c r="K173" s="12" t="b">
        <v>0</v>
      </c>
      <c r="L173" s="12">
        <v>7</v>
      </c>
      <c r="M173" s="8">
        <v>2020</v>
      </c>
      <c r="N173" s="9">
        <v>31889996</v>
      </c>
      <c r="O173" s="13">
        <v>41578</v>
      </c>
      <c r="P173" s="13">
        <v>41578</v>
      </c>
    </row>
    <row r="174" spans="1:16">
      <c r="A174" s="10">
        <v>2013</v>
      </c>
      <c r="B174" s="11" t="s">
        <v>466</v>
      </c>
      <c r="C174" s="11" t="s">
        <v>467</v>
      </c>
      <c r="D174" s="12">
        <v>1021011</v>
      </c>
      <c r="E174" s="12">
        <v>1</v>
      </c>
      <c r="F174" s="12"/>
      <c r="G174" s="12">
        <v>120</v>
      </c>
      <c r="H174" s="12">
        <v>2</v>
      </c>
      <c r="I174" s="12" t="s">
        <v>0</v>
      </c>
      <c r="J174" s="12" t="s">
        <v>34</v>
      </c>
      <c r="K174" s="12" t="b">
        <v>0</v>
      </c>
      <c r="L174" s="12">
        <v>1</v>
      </c>
      <c r="M174" s="8">
        <v>2014</v>
      </c>
      <c r="N174" s="9">
        <v>30561940.550000001</v>
      </c>
      <c r="O174" s="13">
        <v>41578</v>
      </c>
      <c r="P174" s="13">
        <v>41578</v>
      </c>
    </row>
    <row r="175" spans="1:16">
      <c r="A175" s="10">
        <v>2013</v>
      </c>
      <c r="B175" s="11" t="s">
        <v>466</v>
      </c>
      <c r="C175" s="11" t="s">
        <v>467</v>
      </c>
      <c r="D175" s="12">
        <v>1021011</v>
      </c>
      <c r="E175" s="12">
        <v>1</v>
      </c>
      <c r="F175" s="12"/>
      <c r="G175" s="12">
        <v>120</v>
      </c>
      <c r="H175" s="12">
        <v>2</v>
      </c>
      <c r="I175" s="12" t="s">
        <v>0</v>
      </c>
      <c r="J175" s="12" t="s">
        <v>34</v>
      </c>
      <c r="K175" s="12" t="b">
        <v>0</v>
      </c>
      <c r="L175" s="12">
        <v>4</v>
      </c>
      <c r="M175" s="8">
        <v>2017</v>
      </c>
      <c r="N175" s="9">
        <v>30084300</v>
      </c>
      <c r="O175" s="13">
        <v>41578</v>
      </c>
      <c r="P175" s="13">
        <v>41578</v>
      </c>
    </row>
    <row r="176" spans="1:16">
      <c r="A176" s="10">
        <v>2013</v>
      </c>
      <c r="B176" s="11" t="s">
        <v>466</v>
      </c>
      <c r="C176" s="11" t="s">
        <v>467</v>
      </c>
      <c r="D176" s="12">
        <v>1021011</v>
      </c>
      <c r="E176" s="12">
        <v>1</v>
      </c>
      <c r="F176" s="12"/>
      <c r="G176" s="12">
        <v>120</v>
      </c>
      <c r="H176" s="12">
        <v>2</v>
      </c>
      <c r="I176" s="12" t="s">
        <v>0</v>
      </c>
      <c r="J176" s="12" t="s">
        <v>34</v>
      </c>
      <c r="K176" s="12" t="b">
        <v>0</v>
      </c>
      <c r="L176" s="12">
        <v>2</v>
      </c>
      <c r="M176" s="8">
        <v>2015</v>
      </c>
      <c r="N176" s="9">
        <v>30284308</v>
      </c>
      <c r="O176" s="13">
        <v>41578</v>
      </c>
      <c r="P176" s="13">
        <v>41578</v>
      </c>
    </row>
    <row r="177" spans="1:16">
      <c r="A177" s="10">
        <v>2013</v>
      </c>
      <c r="B177" s="11" t="s">
        <v>466</v>
      </c>
      <c r="C177" s="11" t="s">
        <v>467</v>
      </c>
      <c r="D177" s="12">
        <v>1021011</v>
      </c>
      <c r="E177" s="12">
        <v>1</v>
      </c>
      <c r="F177" s="12"/>
      <c r="G177" s="12">
        <v>120</v>
      </c>
      <c r="H177" s="12">
        <v>2</v>
      </c>
      <c r="I177" s="12" t="s">
        <v>0</v>
      </c>
      <c r="J177" s="12" t="s">
        <v>34</v>
      </c>
      <c r="K177" s="12" t="b">
        <v>0</v>
      </c>
      <c r="L177" s="12">
        <v>10</v>
      </c>
      <c r="M177" s="8">
        <v>2023</v>
      </c>
      <c r="N177" s="9">
        <v>33290000</v>
      </c>
      <c r="O177" s="13">
        <v>41578</v>
      </c>
      <c r="P177" s="13">
        <v>41578</v>
      </c>
    </row>
    <row r="178" spans="1:16">
      <c r="A178" s="10">
        <v>2013</v>
      </c>
      <c r="B178" s="11" t="s">
        <v>466</v>
      </c>
      <c r="C178" s="11" t="s">
        <v>467</v>
      </c>
      <c r="D178" s="12">
        <v>1021011</v>
      </c>
      <c r="E178" s="12">
        <v>1</v>
      </c>
      <c r="F178" s="12"/>
      <c r="G178" s="12">
        <v>120</v>
      </c>
      <c r="H178" s="12">
        <v>2</v>
      </c>
      <c r="I178" s="12" t="s">
        <v>0</v>
      </c>
      <c r="J178" s="12" t="s">
        <v>34</v>
      </c>
      <c r="K178" s="12" t="b">
        <v>0</v>
      </c>
      <c r="L178" s="12">
        <v>9</v>
      </c>
      <c r="M178" s="8">
        <v>2022</v>
      </c>
      <c r="N178" s="9">
        <v>32849996</v>
      </c>
      <c r="O178" s="13">
        <v>41578</v>
      </c>
      <c r="P178" s="13">
        <v>41578</v>
      </c>
    </row>
    <row r="179" spans="1:16">
      <c r="A179" s="10">
        <v>2013</v>
      </c>
      <c r="B179" s="11" t="s">
        <v>466</v>
      </c>
      <c r="C179" s="11" t="s">
        <v>467</v>
      </c>
      <c r="D179" s="12">
        <v>1021011</v>
      </c>
      <c r="E179" s="12">
        <v>1</v>
      </c>
      <c r="F179" s="12"/>
      <c r="G179" s="12">
        <v>120</v>
      </c>
      <c r="H179" s="12">
        <v>2</v>
      </c>
      <c r="I179" s="12" t="s">
        <v>0</v>
      </c>
      <c r="J179" s="12" t="s">
        <v>34</v>
      </c>
      <c r="K179" s="12" t="b">
        <v>0</v>
      </c>
      <c r="L179" s="12">
        <v>0</v>
      </c>
      <c r="M179" s="8">
        <v>2013</v>
      </c>
      <c r="N179" s="9">
        <v>39751618.390000001</v>
      </c>
      <c r="O179" s="13">
        <v>41578</v>
      </c>
      <c r="P179" s="13">
        <v>41578</v>
      </c>
    </row>
    <row r="180" spans="1:16">
      <c r="A180" s="10">
        <v>2013</v>
      </c>
      <c r="B180" s="11" t="s">
        <v>466</v>
      </c>
      <c r="C180" s="11" t="s">
        <v>467</v>
      </c>
      <c r="D180" s="12">
        <v>1021011</v>
      </c>
      <c r="E180" s="12">
        <v>1</v>
      </c>
      <c r="F180" s="12"/>
      <c r="G180" s="12">
        <v>120</v>
      </c>
      <c r="H180" s="12">
        <v>2</v>
      </c>
      <c r="I180" s="12" t="s">
        <v>0</v>
      </c>
      <c r="J180" s="12" t="s">
        <v>34</v>
      </c>
      <c r="K180" s="12" t="b">
        <v>0</v>
      </c>
      <c r="L180" s="12">
        <v>5</v>
      </c>
      <c r="M180" s="8">
        <v>2018</v>
      </c>
      <c r="N180" s="9">
        <v>30821796</v>
      </c>
      <c r="O180" s="13">
        <v>41578</v>
      </c>
      <c r="P180" s="13">
        <v>41578</v>
      </c>
    </row>
    <row r="181" spans="1:16">
      <c r="A181" s="10">
        <v>2013</v>
      </c>
      <c r="B181" s="11" t="s">
        <v>466</v>
      </c>
      <c r="C181" s="11" t="s">
        <v>467</v>
      </c>
      <c r="D181" s="12">
        <v>1021011</v>
      </c>
      <c r="E181" s="12">
        <v>1</v>
      </c>
      <c r="F181" s="12"/>
      <c r="G181" s="12">
        <v>120</v>
      </c>
      <c r="H181" s="12">
        <v>2</v>
      </c>
      <c r="I181" s="12" t="s">
        <v>0</v>
      </c>
      <c r="J181" s="12" t="s">
        <v>34</v>
      </c>
      <c r="K181" s="12" t="b">
        <v>0</v>
      </c>
      <c r="L181" s="12">
        <v>6</v>
      </c>
      <c r="M181" s="8">
        <v>2019</v>
      </c>
      <c r="N181" s="9">
        <v>31389996</v>
      </c>
      <c r="O181" s="13">
        <v>41578</v>
      </c>
      <c r="P181" s="13">
        <v>41578</v>
      </c>
    </row>
    <row r="182" spans="1:16">
      <c r="A182" s="10">
        <v>2013</v>
      </c>
      <c r="B182" s="11" t="s">
        <v>466</v>
      </c>
      <c r="C182" s="11" t="s">
        <v>467</v>
      </c>
      <c r="D182" s="12">
        <v>1021011</v>
      </c>
      <c r="E182" s="12">
        <v>1</v>
      </c>
      <c r="F182" s="12"/>
      <c r="G182" s="12">
        <v>120</v>
      </c>
      <c r="H182" s="12">
        <v>2</v>
      </c>
      <c r="I182" s="12" t="s">
        <v>0</v>
      </c>
      <c r="J182" s="12" t="s">
        <v>34</v>
      </c>
      <c r="K182" s="12" t="b">
        <v>0</v>
      </c>
      <c r="L182" s="12">
        <v>3</v>
      </c>
      <c r="M182" s="8">
        <v>2016</v>
      </c>
      <c r="N182" s="9">
        <v>29934304</v>
      </c>
      <c r="O182" s="13">
        <v>41578</v>
      </c>
      <c r="P182" s="13">
        <v>41578</v>
      </c>
    </row>
    <row r="183" spans="1:16">
      <c r="A183" s="10">
        <v>2013</v>
      </c>
      <c r="B183" s="11" t="s">
        <v>466</v>
      </c>
      <c r="C183" s="11" t="s">
        <v>467</v>
      </c>
      <c r="D183" s="12">
        <v>1021011</v>
      </c>
      <c r="E183" s="12">
        <v>1</v>
      </c>
      <c r="F183" s="12"/>
      <c r="G183" s="12">
        <v>530</v>
      </c>
      <c r="H183" s="12">
        <v>9.8000000000000007</v>
      </c>
      <c r="I183" s="12" t="s">
        <v>1</v>
      </c>
      <c r="J183" s="12" t="s">
        <v>118</v>
      </c>
      <c r="K183" s="12" t="b">
        <v>0</v>
      </c>
      <c r="L183" s="12">
        <v>2</v>
      </c>
      <c r="M183" s="8">
        <v>2015</v>
      </c>
      <c r="N183" s="9">
        <v>78</v>
      </c>
      <c r="O183" s="13">
        <v>41578</v>
      </c>
      <c r="P183" s="13">
        <v>41578</v>
      </c>
    </row>
    <row r="184" spans="1:16">
      <c r="A184" s="10">
        <v>2013</v>
      </c>
      <c r="B184" s="11" t="s">
        <v>466</v>
      </c>
      <c r="C184" s="11" t="s">
        <v>467</v>
      </c>
      <c r="D184" s="12">
        <v>1021011</v>
      </c>
      <c r="E184" s="12">
        <v>1</v>
      </c>
      <c r="F184" s="12"/>
      <c r="G184" s="12">
        <v>530</v>
      </c>
      <c r="H184" s="12">
        <v>9.8000000000000007</v>
      </c>
      <c r="I184" s="12" t="s">
        <v>1</v>
      </c>
      <c r="J184" s="12" t="s">
        <v>118</v>
      </c>
      <c r="K184" s="12" t="b">
        <v>0</v>
      </c>
      <c r="L184" s="12">
        <v>1</v>
      </c>
      <c r="M184" s="8">
        <v>2014</v>
      </c>
      <c r="N184" s="9">
        <v>-89</v>
      </c>
      <c r="O184" s="13">
        <v>41578</v>
      </c>
      <c r="P184" s="13">
        <v>41578</v>
      </c>
    </row>
    <row r="185" spans="1:16">
      <c r="A185" s="10">
        <v>2013</v>
      </c>
      <c r="B185" s="11" t="s">
        <v>466</v>
      </c>
      <c r="C185" s="11" t="s">
        <v>467</v>
      </c>
      <c r="D185" s="12">
        <v>1021011</v>
      </c>
      <c r="E185" s="12">
        <v>1</v>
      </c>
      <c r="F185" s="12"/>
      <c r="G185" s="12">
        <v>350</v>
      </c>
      <c r="H185" s="12">
        <v>6</v>
      </c>
      <c r="I185" s="12"/>
      <c r="J185" s="12" t="s">
        <v>40</v>
      </c>
      <c r="K185" s="12" t="b">
        <v>1</v>
      </c>
      <c r="L185" s="12">
        <v>1</v>
      </c>
      <c r="M185" s="8">
        <v>2014</v>
      </c>
      <c r="N185" s="9">
        <v>14565308</v>
      </c>
      <c r="O185" s="13">
        <v>41578</v>
      </c>
      <c r="P185" s="13">
        <v>41578</v>
      </c>
    </row>
    <row r="186" spans="1:16">
      <c r="A186" s="10">
        <v>2013</v>
      </c>
      <c r="B186" s="11" t="s">
        <v>466</v>
      </c>
      <c r="C186" s="11" t="s">
        <v>467</v>
      </c>
      <c r="D186" s="12">
        <v>1021011</v>
      </c>
      <c r="E186" s="12">
        <v>1</v>
      </c>
      <c r="F186" s="12"/>
      <c r="G186" s="12">
        <v>350</v>
      </c>
      <c r="H186" s="12">
        <v>6</v>
      </c>
      <c r="I186" s="12"/>
      <c r="J186" s="12" t="s">
        <v>40</v>
      </c>
      <c r="K186" s="12" t="b">
        <v>1</v>
      </c>
      <c r="L186" s="12">
        <v>6</v>
      </c>
      <c r="M186" s="8">
        <v>2019</v>
      </c>
      <c r="N186" s="9">
        <v>6580012</v>
      </c>
      <c r="O186" s="13">
        <v>41578</v>
      </c>
      <c r="P186" s="13">
        <v>41578</v>
      </c>
    </row>
    <row r="187" spans="1:16">
      <c r="A187" s="10">
        <v>2013</v>
      </c>
      <c r="B187" s="11" t="s">
        <v>466</v>
      </c>
      <c r="C187" s="11" t="s">
        <v>467</v>
      </c>
      <c r="D187" s="12">
        <v>1021011</v>
      </c>
      <c r="E187" s="12">
        <v>1</v>
      </c>
      <c r="F187" s="12"/>
      <c r="G187" s="12">
        <v>350</v>
      </c>
      <c r="H187" s="12">
        <v>6</v>
      </c>
      <c r="I187" s="12"/>
      <c r="J187" s="12" t="s">
        <v>40</v>
      </c>
      <c r="K187" s="12" t="b">
        <v>1</v>
      </c>
      <c r="L187" s="12">
        <v>0</v>
      </c>
      <c r="M187" s="8">
        <v>2013</v>
      </c>
      <c r="N187" s="9">
        <v>15503368.16</v>
      </c>
      <c r="O187" s="13">
        <v>41578</v>
      </c>
      <c r="P187" s="13">
        <v>41578</v>
      </c>
    </row>
    <row r="188" spans="1:16">
      <c r="A188" s="10">
        <v>2013</v>
      </c>
      <c r="B188" s="11" t="s">
        <v>466</v>
      </c>
      <c r="C188" s="11" t="s">
        <v>467</v>
      </c>
      <c r="D188" s="12">
        <v>1021011</v>
      </c>
      <c r="E188" s="12">
        <v>1</v>
      </c>
      <c r="F188" s="12"/>
      <c r="G188" s="12">
        <v>530</v>
      </c>
      <c r="H188" s="12">
        <v>9.8000000000000007</v>
      </c>
      <c r="I188" s="12" t="s">
        <v>1</v>
      </c>
      <c r="J188" s="12" t="s">
        <v>118</v>
      </c>
      <c r="K188" s="12" t="b">
        <v>0</v>
      </c>
      <c r="L188" s="12">
        <v>10</v>
      </c>
      <c r="M188" s="8">
        <v>2023</v>
      </c>
      <c r="N188" s="9">
        <v>768</v>
      </c>
      <c r="O188" s="13">
        <v>41578</v>
      </c>
      <c r="P188" s="13">
        <v>41578</v>
      </c>
    </row>
    <row r="189" spans="1:16">
      <c r="A189" s="10">
        <v>2013</v>
      </c>
      <c r="B189" s="11" t="s">
        <v>466</v>
      </c>
      <c r="C189" s="11" t="s">
        <v>467</v>
      </c>
      <c r="D189" s="12">
        <v>1021011</v>
      </c>
      <c r="E189" s="12">
        <v>1</v>
      </c>
      <c r="F189" s="12"/>
      <c r="G189" s="12">
        <v>530</v>
      </c>
      <c r="H189" s="12">
        <v>9.8000000000000007</v>
      </c>
      <c r="I189" s="12" t="s">
        <v>1</v>
      </c>
      <c r="J189" s="12" t="s">
        <v>118</v>
      </c>
      <c r="K189" s="12" t="b">
        <v>0</v>
      </c>
      <c r="L189" s="12">
        <v>3</v>
      </c>
      <c r="M189" s="8">
        <v>2016</v>
      </c>
      <c r="N189" s="9">
        <v>370</v>
      </c>
      <c r="O189" s="13">
        <v>41578</v>
      </c>
      <c r="P189" s="13">
        <v>41578</v>
      </c>
    </row>
    <row r="190" spans="1:16">
      <c r="A190" s="10">
        <v>2013</v>
      </c>
      <c r="B190" s="11" t="s">
        <v>466</v>
      </c>
      <c r="C190" s="11" t="s">
        <v>467</v>
      </c>
      <c r="D190" s="12">
        <v>1021011</v>
      </c>
      <c r="E190" s="12">
        <v>1</v>
      </c>
      <c r="F190" s="12"/>
      <c r="G190" s="12">
        <v>530</v>
      </c>
      <c r="H190" s="12">
        <v>9.8000000000000007</v>
      </c>
      <c r="I190" s="12" t="s">
        <v>1</v>
      </c>
      <c r="J190" s="12" t="s">
        <v>118</v>
      </c>
      <c r="K190" s="12" t="b">
        <v>0</v>
      </c>
      <c r="L190" s="12">
        <v>9</v>
      </c>
      <c r="M190" s="8">
        <v>2022</v>
      </c>
      <c r="N190" s="9">
        <v>769</v>
      </c>
      <c r="O190" s="13">
        <v>41578</v>
      </c>
      <c r="P190" s="13">
        <v>41578</v>
      </c>
    </row>
    <row r="191" spans="1:16">
      <c r="A191" s="10">
        <v>2013</v>
      </c>
      <c r="B191" s="11" t="s">
        <v>466</v>
      </c>
      <c r="C191" s="11" t="s">
        <v>467</v>
      </c>
      <c r="D191" s="12">
        <v>1021011</v>
      </c>
      <c r="E191" s="12">
        <v>1</v>
      </c>
      <c r="F191" s="12"/>
      <c r="G191" s="12">
        <v>530</v>
      </c>
      <c r="H191" s="12">
        <v>9.8000000000000007</v>
      </c>
      <c r="I191" s="12" t="s">
        <v>1</v>
      </c>
      <c r="J191" s="12" t="s">
        <v>118</v>
      </c>
      <c r="K191" s="12" t="b">
        <v>0</v>
      </c>
      <c r="L191" s="12">
        <v>4</v>
      </c>
      <c r="M191" s="8">
        <v>2017</v>
      </c>
      <c r="N191" s="9">
        <v>612</v>
      </c>
      <c r="O191" s="13">
        <v>41578</v>
      </c>
      <c r="P191" s="13">
        <v>41578</v>
      </c>
    </row>
    <row r="192" spans="1:16">
      <c r="A192" s="10">
        <v>2013</v>
      </c>
      <c r="B192" s="11" t="s">
        <v>466</v>
      </c>
      <c r="C192" s="11" t="s">
        <v>467</v>
      </c>
      <c r="D192" s="12">
        <v>1021011</v>
      </c>
      <c r="E192" s="12">
        <v>1</v>
      </c>
      <c r="F192" s="12"/>
      <c r="G192" s="12">
        <v>530</v>
      </c>
      <c r="H192" s="12">
        <v>9.8000000000000007</v>
      </c>
      <c r="I192" s="12" t="s">
        <v>1</v>
      </c>
      <c r="J192" s="12" t="s">
        <v>118</v>
      </c>
      <c r="K192" s="12" t="b">
        <v>0</v>
      </c>
      <c r="L192" s="12">
        <v>6</v>
      </c>
      <c r="M192" s="8">
        <v>2019</v>
      </c>
      <c r="N192" s="9">
        <v>695</v>
      </c>
      <c r="O192" s="13">
        <v>41578</v>
      </c>
      <c r="P192" s="13">
        <v>41578</v>
      </c>
    </row>
    <row r="193" spans="1:16">
      <c r="A193" s="10">
        <v>2013</v>
      </c>
      <c r="B193" s="11" t="s">
        <v>466</v>
      </c>
      <c r="C193" s="11" t="s">
        <v>467</v>
      </c>
      <c r="D193" s="12">
        <v>1021011</v>
      </c>
      <c r="E193" s="12">
        <v>1</v>
      </c>
      <c r="F193" s="12"/>
      <c r="G193" s="12">
        <v>530</v>
      </c>
      <c r="H193" s="12">
        <v>9.8000000000000007</v>
      </c>
      <c r="I193" s="12" t="s">
        <v>1</v>
      </c>
      <c r="J193" s="12" t="s">
        <v>118</v>
      </c>
      <c r="K193" s="12" t="b">
        <v>0</v>
      </c>
      <c r="L193" s="12">
        <v>5</v>
      </c>
      <c r="M193" s="8">
        <v>2018</v>
      </c>
      <c r="N193" s="9">
        <v>668</v>
      </c>
      <c r="O193" s="13">
        <v>41578</v>
      </c>
      <c r="P193" s="13">
        <v>41578</v>
      </c>
    </row>
    <row r="194" spans="1:16">
      <c r="A194" s="10">
        <v>2013</v>
      </c>
      <c r="B194" s="11" t="s">
        <v>466</v>
      </c>
      <c r="C194" s="11" t="s">
        <v>467</v>
      </c>
      <c r="D194" s="12">
        <v>1021011</v>
      </c>
      <c r="E194" s="12">
        <v>1</v>
      </c>
      <c r="F194" s="12"/>
      <c r="G194" s="12">
        <v>530</v>
      </c>
      <c r="H194" s="12">
        <v>9.8000000000000007</v>
      </c>
      <c r="I194" s="12" t="s">
        <v>1</v>
      </c>
      <c r="J194" s="12" t="s">
        <v>118</v>
      </c>
      <c r="K194" s="12" t="b">
        <v>0</v>
      </c>
      <c r="L194" s="12">
        <v>8</v>
      </c>
      <c r="M194" s="8">
        <v>2021</v>
      </c>
      <c r="N194" s="9">
        <v>751</v>
      </c>
      <c r="O194" s="13">
        <v>41578</v>
      </c>
      <c r="P194" s="13">
        <v>41578</v>
      </c>
    </row>
    <row r="195" spans="1:16">
      <c r="A195" s="10">
        <v>2013</v>
      </c>
      <c r="B195" s="11" t="s">
        <v>466</v>
      </c>
      <c r="C195" s="11" t="s">
        <v>467</v>
      </c>
      <c r="D195" s="12">
        <v>1021011</v>
      </c>
      <c r="E195" s="12">
        <v>1</v>
      </c>
      <c r="F195" s="12"/>
      <c r="G195" s="12">
        <v>530</v>
      </c>
      <c r="H195" s="12">
        <v>9.8000000000000007</v>
      </c>
      <c r="I195" s="12" t="s">
        <v>1</v>
      </c>
      <c r="J195" s="12" t="s">
        <v>118</v>
      </c>
      <c r="K195" s="12" t="b">
        <v>0</v>
      </c>
      <c r="L195" s="12">
        <v>7</v>
      </c>
      <c r="M195" s="8">
        <v>2020</v>
      </c>
      <c r="N195" s="9">
        <v>730</v>
      </c>
      <c r="O195" s="13">
        <v>41578</v>
      </c>
      <c r="P195" s="13">
        <v>41578</v>
      </c>
    </row>
    <row r="196" spans="1:16">
      <c r="A196" s="10">
        <v>2013</v>
      </c>
      <c r="B196" s="11" t="s">
        <v>466</v>
      </c>
      <c r="C196" s="11" t="s">
        <v>467</v>
      </c>
      <c r="D196" s="12">
        <v>1021011</v>
      </c>
      <c r="E196" s="12">
        <v>1</v>
      </c>
      <c r="F196" s="12"/>
      <c r="G196" s="12">
        <v>530</v>
      </c>
      <c r="H196" s="12">
        <v>9.8000000000000007</v>
      </c>
      <c r="I196" s="12" t="s">
        <v>1</v>
      </c>
      <c r="J196" s="12" t="s">
        <v>118</v>
      </c>
      <c r="K196" s="12" t="b">
        <v>0</v>
      </c>
      <c r="L196" s="12">
        <v>0</v>
      </c>
      <c r="M196" s="8">
        <v>2013</v>
      </c>
      <c r="N196" s="9">
        <v>-919</v>
      </c>
      <c r="O196" s="13">
        <v>41578</v>
      </c>
      <c r="P196" s="13">
        <v>41578</v>
      </c>
    </row>
    <row r="197" spans="1:16">
      <c r="A197" s="10">
        <v>2013</v>
      </c>
      <c r="B197" s="11" t="s">
        <v>466</v>
      </c>
      <c r="C197" s="11" t="s">
        <v>467</v>
      </c>
      <c r="D197" s="12">
        <v>1021011</v>
      </c>
      <c r="E197" s="12">
        <v>1</v>
      </c>
      <c r="F197" s="12"/>
      <c r="G197" s="12">
        <v>350</v>
      </c>
      <c r="H197" s="12">
        <v>6</v>
      </c>
      <c r="I197" s="12"/>
      <c r="J197" s="12" t="s">
        <v>40</v>
      </c>
      <c r="K197" s="12" t="b">
        <v>1</v>
      </c>
      <c r="L197" s="12">
        <v>2</v>
      </c>
      <c r="M197" s="8">
        <v>2015</v>
      </c>
      <c r="N197" s="9">
        <v>13349616</v>
      </c>
      <c r="O197" s="13">
        <v>41578</v>
      </c>
      <c r="P197" s="13">
        <v>41578</v>
      </c>
    </row>
    <row r="198" spans="1:16">
      <c r="A198" s="10">
        <v>2013</v>
      </c>
      <c r="B198" s="11" t="s">
        <v>466</v>
      </c>
      <c r="C198" s="11" t="s">
        <v>467</v>
      </c>
      <c r="D198" s="12">
        <v>1021011</v>
      </c>
      <c r="E198" s="12">
        <v>1</v>
      </c>
      <c r="F198" s="12"/>
      <c r="G198" s="12">
        <v>350</v>
      </c>
      <c r="H198" s="12">
        <v>6</v>
      </c>
      <c r="I198" s="12"/>
      <c r="J198" s="12" t="s">
        <v>40</v>
      </c>
      <c r="K198" s="12" t="b">
        <v>1</v>
      </c>
      <c r="L198" s="12">
        <v>4</v>
      </c>
      <c r="M198" s="8">
        <v>2017</v>
      </c>
      <c r="N198" s="9">
        <v>9868220</v>
      </c>
      <c r="O198" s="13">
        <v>41578</v>
      </c>
      <c r="P198" s="13">
        <v>41578</v>
      </c>
    </row>
    <row r="199" spans="1:16">
      <c r="A199" s="10">
        <v>2013</v>
      </c>
      <c r="B199" s="11" t="s">
        <v>466</v>
      </c>
      <c r="C199" s="11" t="s">
        <v>467</v>
      </c>
      <c r="D199" s="12">
        <v>1021011</v>
      </c>
      <c r="E199" s="12">
        <v>1</v>
      </c>
      <c r="F199" s="12"/>
      <c r="G199" s="12">
        <v>350</v>
      </c>
      <c r="H199" s="12">
        <v>6</v>
      </c>
      <c r="I199" s="12"/>
      <c r="J199" s="12" t="s">
        <v>40</v>
      </c>
      <c r="K199" s="12" t="b">
        <v>1</v>
      </c>
      <c r="L199" s="12">
        <v>8</v>
      </c>
      <c r="M199" s="8">
        <v>2021</v>
      </c>
      <c r="N199" s="9">
        <v>3360004</v>
      </c>
      <c r="O199" s="13">
        <v>41578</v>
      </c>
      <c r="P199" s="13">
        <v>41578</v>
      </c>
    </row>
    <row r="200" spans="1:16">
      <c r="A200" s="10">
        <v>2013</v>
      </c>
      <c r="B200" s="11" t="s">
        <v>466</v>
      </c>
      <c r="C200" s="11" t="s">
        <v>467</v>
      </c>
      <c r="D200" s="12">
        <v>1021011</v>
      </c>
      <c r="E200" s="12">
        <v>1</v>
      </c>
      <c r="F200" s="12"/>
      <c r="G200" s="12">
        <v>350</v>
      </c>
      <c r="H200" s="12">
        <v>6</v>
      </c>
      <c r="I200" s="12"/>
      <c r="J200" s="12" t="s">
        <v>40</v>
      </c>
      <c r="K200" s="12" t="b">
        <v>1</v>
      </c>
      <c r="L200" s="12">
        <v>7</v>
      </c>
      <c r="M200" s="8">
        <v>2020</v>
      </c>
      <c r="N200" s="9">
        <v>4970008</v>
      </c>
      <c r="O200" s="13">
        <v>41578</v>
      </c>
      <c r="P200" s="13">
        <v>41578</v>
      </c>
    </row>
    <row r="201" spans="1:16">
      <c r="A201" s="10">
        <v>2013</v>
      </c>
      <c r="B201" s="11" t="s">
        <v>466</v>
      </c>
      <c r="C201" s="11" t="s">
        <v>467</v>
      </c>
      <c r="D201" s="12">
        <v>1021011</v>
      </c>
      <c r="E201" s="12">
        <v>1</v>
      </c>
      <c r="F201" s="12"/>
      <c r="G201" s="12">
        <v>350</v>
      </c>
      <c r="H201" s="12">
        <v>6</v>
      </c>
      <c r="I201" s="12"/>
      <c r="J201" s="12" t="s">
        <v>40</v>
      </c>
      <c r="K201" s="12" t="b">
        <v>1</v>
      </c>
      <c r="L201" s="12">
        <v>5</v>
      </c>
      <c r="M201" s="8">
        <v>2018</v>
      </c>
      <c r="N201" s="9">
        <v>8190016</v>
      </c>
      <c r="O201" s="13">
        <v>41578</v>
      </c>
      <c r="P201" s="13">
        <v>41578</v>
      </c>
    </row>
    <row r="202" spans="1:16">
      <c r="A202" s="10">
        <v>2013</v>
      </c>
      <c r="B202" s="11" t="s">
        <v>466</v>
      </c>
      <c r="C202" s="11" t="s">
        <v>467</v>
      </c>
      <c r="D202" s="12">
        <v>1021011</v>
      </c>
      <c r="E202" s="12">
        <v>1</v>
      </c>
      <c r="F202" s="12"/>
      <c r="G202" s="12">
        <v>350</v>
      </c>
      <c r="H202" s="12">
        <v>6</v>
      </c>
      <c r="I202" s="12"/>
      <c r="J202" s="12" t="s">
        <v>40</v>
      </c>
      <c r="K202" s="12" t="b">
        <v>1</v>
      </c>
      <c r="L202" s="12">
        <v>3</v>
      </c>
      <c r="M202" s="8">
        <v>2016</v>
      </c>
      <c r="N202" s="9">
        <v>11783920</v>
      </c>
      <c r="O202" s="13">
        <v>41578</v>
      </c>
      <c r="P202" s="13">
        <v>41578</v>
      </c>
    </row>
    <row r="203" spans="1:16">
      <c r="A203" s="10">
        <v>2013</v>
      </c>
      <c r="B203" s="11" t="s">
        <v>466</v>
      </c>
      <c r="C203" s="11" t="s">
        <v>467</v>
      </c>
      <c r="D203" s="12">
        <v>1021011</v>
      </c>
      <c r="E203" s="12">
        <v>1</v>
      </c>
      <c r="F203" s="12"/>
      <c r="G203" s="12">
        <v>350</v>
      </c>
      <c r="H203" s="12">
        <v>6</v>
      </c>
      <c r="I203" s="12"/>
      <c r="J203" s="12" t="s">
        <v>40</v>
      </c>
      <c r="K203" s="12" t="b">
        <v>1</v>
      </c>
      <c r="L203" s="12">
        <v>9</v>
      </c>
      <c r="M203" s="8">
        <v>2022</v>
      </c>
      <c r="N203" s="9">
        <v>1710000</v>
      </c>
      <c r="O203" s="13">
        <v>41578</v>
      </c>
      <c r="P203" s="13">
        <v>41578</v>
      </c>
    </row>
    <row r="204" spans="1:16">
      <c r="A204" s="10">
        <v>2013</v>
      </c>
      <c r="B204" s="11" t="s">
        <v>466</v>
      </c>
      <c r="C204" s="11" t="s">
        <v>467</v>
      </c>
      <c r="D204" s="12">
        <v>1021011</v>
      </c>
      <c r="E204" s="12">
        <v>1</v>
      </c>
      <c r="F204" s="12"/>
      <c r="G204" s="12">
        <v>210</v>
      </c>
      <c r="H204" s="12">
        <v>4</v>
      </c>
      <c r="I204" s="12" t="s">
        <v>2</v>
      </c>
      <c r="J204" s="12" t="s">
        <v>37</v>
      </c>
      <c r="K204" s="12" t="b">
        <v>0</v>
      </c>
      <c r="L204" s="12">
        <v>0</v>
      </c>
      <c r="M204" s="8">
        <v>2013</v>
      </c>
      <c r="N204" s="9">
        <v>7317411.2199999997</v>
      </c>
      <c r="O204" s="13">
        <v>41578</v>
      </c>
      <c r="P204" s="13">
        <v>41578</v>
      </c>
    </row>
    <row r="205" spans="1:16">
      <c r="A205" s="10">
        <v>2013</v>
      </c>
      <c r="B205" s="11" t="s">
        <v>466</v>
      </c>
      <c r="C205" s="11" t="s">
        <v>467</v>
      </c>
      <c r="D205" s="12">
        <v>1021011</v>
      </c>
      <c r="E205" s="12">
        <v>1</v>
      </c>
      <c r="F205" s="12"/>
      <c r="G205" s="12">
        <v>60</v>
      </c>
      <c r="H205" s="12" t="s">
        <v>60</v>
      </c>
      <c r="I205" s="12"/>
      <c r="J205" s="12" t="s">
        <v>61</v>
      </c>
      <c r="K205" s="12" t="b">
        <v>1</v>
      </c>
      <c r="L205" s="12">
        <v>0</v>
      </c>
      <c r="M205" s="8">
        <v>2013</v>
      </c>
      <c r="N205" s="9">
        <v>3722743.3</v>
      </c>
      <c r="O205" s="13">
        <v>41578</v>
      </c>
      <c r="P205" s="13">
        <v>41578</v>
      </c>
    </row>
    <row r="206" spans="1:16">
      <c r="A206" s="10">
        <v>2013</v>
      </c>
      <c r="B206" s="11" t="s">
        <v>466</v>
      </c>
      <c r="C206" s="11" t="s">
        <v>467</v>
      </c>
      <c r="D206" s="12">
        <v>1021011</v>
      </c>
      <c r="E206" s="12">
        <v>1</v>
      </c>
      <c r="F206" s="12"/>
      <c r="G206" s="12">
        <v>60</v>
      </c>
      <c r="H206" s="12" t="s">
        <v>60</v>
      </c>
      <c r="I206" s="12"/>
      <c r="J206" s="12" t="s">
        <v>61</v>
      </c>
      <c r="K206" s="12" t="b">
        <v>1</v>
      </c>
      <c r="L206" s="12">
        <v>4</v>
      </c>
      <c r="M206" s="8">
        <v>2017</v>
      </c>
      <c r="N206" s="9">
        <v>4500000</v>
      </c>
      <c r="O206" s="13">
        <v>41578</v>
      </c>
      <c r="P206" s="13">
        <v>41578</v>
      </c>
    </row>
    <row r="207" spans="1:16">
      <c r="A207" s="10">
        <v>2013</v>
      </c>
      <c r="B207" s="11" t="s">
        <v>466</v>
      </c>
      <c r="C207" s="11" t="s">
        <v>467</v>
      </c>
      <c r="D207" s="12">
        <v>1021011</v>
      </c>
      <c r="E207" s="12">
        <v>1</v>
      </c>
      <c r="F207" s="12"/>
      <c r="G207" s="12">
        <v>60</v>
      </c>
      <c r="H207" s="12" t="s">
        <v>60</v>
      </c>
      <c r="I207" s="12"/>
      <c r="J207" s="12" t="s">
        <v>61</v>
      </c>
      <c r="K207" s="12" t="b">
        <v>1</v>
      </c>
      <c r="L207" s="12">
        <v>3</v>
      </c>
      <c r="M207" s="8">
        <v>2016</v>
      </c>
      <c r="N207" s="9">
        <v>4300000</v>
      </c>
      <c r="O207" s="13">
        <v>41578</v>
      </c>
      <c r="P207" s="13">
        <v>41578</v>
      </c>
    </row>
    <row r="208" spans="1:16">
      <c r="A208" s="10">
        <v>2013</v>
      </c>
      <c r="B208" s="11" t="s">
        <v>466</v>
      </c>
      <c r="C208" s="11" t="s">
        <v>467</v>
      </c>
      <c r="D208" s="12">
        <v>1021011</v>
      </c>
      <c r="E208" s="12">
        <v>1</v>
      </c>
      <c r="F208" s="12"/>
      <c r="G208" s="12">
        <v>60</v>
      </c>
      <c r="H208" s="12" t="s">
        <v>60</v>
      </c>
      <c r="I208" s="12"/>
      <c r="J208" s="12" t="s">
        <v>61</v>
      </c>
      <c r="K208" s="12" t="b">
        <v>1</v>
      </c>
      <c r="L208" s="12">
        <v>8</v>
      </c>
      <c r="M208" s="8">
        <v>2021</v>
      </c>
      <c r="N208" s="9">
        <v>5300000</v>
      </c>
      <c r="O208" s="13">
        <v>41578</v>
      </c>
      <c r="P208" s="13">
        <v>41578</v>
      </c>
    </row>
    <row r="209" spans="1:16">
      <c r="A209" s="10">
        <v>2013</v>
      </c>
      <c r="B209" s="11" t="s">
        <v>466</v>
      </c>
      <c r="C209" s="11" t="s">
        <v>467</v>
      </c>
      <c r="D209" s="12">
        <v>1021011</v>
      </c>
      <c r="E209" s="12">
        <v>1</v>
      </c>
      <c r="F209" s="12"/>
      <c r="G209" s="12">
        <v>60</v>
      </c>
      <c r="H209" s="12" t="s">
        <v>60</v>
      </c>
      <c r="I209" s="12"/>
      <c r="J209" s="12" t="s">
        <v>61</v>
      </c>
      <c r="K209" s="12" t="b">
        <v>1</v>
      </c>
      <c r="L209" s="12">
        <v>10</v>
      </c>
      <c r="M209" s="8">
        <v>2023</v>
      </c>
      <c r="N209" s="9">
        <v>5700000</v>
      </c>
      <c r="O209" s="13">
        <v>41578</v>
      </c>
      <c r="P209" s="13">
        <v>41578</v>
      </c>
    </row>
    <row r="210" spans="1:16">
      <c r="A210" s="10">
        <v>2013</v>
      </c>
      <c r="B210" s="11" t="s">
        <v>466</v>
      </c>
      <c r="C210" s="11" t="s">
        <v>467</v>
      </c>
      <c r="D210" s="12">
        <v>1021011</v>
      </c>
      <c r="E210" s="12">
        <v>1</v>
      </c>
      <c r="F210" s="12"/>
      <c r="G210" s="12">
        <v>60</v>
      </c>
      <c r="H210" s="12" t="s">
        <v>60</v>
      </c>
      <c r="I210" s="12"/>
      <c r="J210" s="12" t="s">
        <v>61</v>
      </c>
      <c r="K210" s="12" t="b">
        <v>1</v>
      </c>
      <c r="L210" s="12">
        <v>9</v>
      </c>
      <c r="M210" s="8">
        <v>2022</v>
      </c>
      <c r="N210" s="9">
        <v>5500000</v>
      </c>
      <c r="O210" s="13">
        <v>41578</v>
      </c>
      <c r="P210" s="13">
        <v>41578</v>
      </c>
    </row>
    <row r="211" spans="1:16">
      <c r="A211" s="10">
        <v>2013</v>
      </c>
      <c r="B211" s="11" t="s">
        <v>466</v>
      </c>
      <c r="C211" s="11" t="s">
        <v>467</v>
      </c>
      <c r="D211" s="12">
        <v>1021011</v>
      </c>
      <c r="E211" s="12">
        <v>1</v>
      </c>
      <c r="F211" s="12"/>
      <c r="G211" s="12">
        <v>60</v>
      </c>
      <c r="H211" s="12" t="s">
        <v>60</v>
      </c>
      <c r="I211" s="12"/>
      <c r="J211" s="12" t="s">
        <v>61</v>
      </c>
      <c r="K211" s="12" t="b">
        <v>1</v>
      </c>
      <c r="L211" s="12">
        <v>6</v>
      </c>
      <c r="M211" s="8">
        <v>2019</v>
      </c>
      <c r="N211" s="9">
        <v>4900000</v>
      </c>
      <c r="O211" s="13">
        <v>41578</v>
      </c>
      <c r="P211" s="13">
        <v>41578</v>
      </c>
    </row>
    <row r="212" spans="1:16">
      <c r="A212" s="10">
        <v>2013</v>
      </c>
      <c r="B212" s="11" t="s">
        <v>466</v>
      </c>
      <c r="C212" s="11" t="s">
        <v>467</v>
      </c>
      <c r="D212" s="12">
        <v>1021011</v>
      </c>
      <c r="E212" s="12">
        <v>1</v>
      </c>
      <c r="F212" s="12"/>
      <c r="G212" s="12">
        <v>60</v>
      </c>
      <c r="H212" s="12" t="s">
        <v>60</v>
      </c>
      <c r="I212" s="12"/>
      <c r="J212" s="12" t="s">
        <v>61</v>
      </c>
      <c r="K212" s="12" t="b">
        <v>1</v>
      </c>
      <c r="L212" s="12">
        <v>1</v>
      </c>
      <c r="M212" s="8">
        <v>2014</v>
      </c>
      <c r="N212" s="9">
        <v>3900000</v>
      </c>
      <c r="O212" s="13">
        <v>41578</v>
      </c>
      <c r="P212" s="13">
        <v>41578</v>
      </c>
    </row>
    <row r="213" spans="1:16">
      <c r="A213" s="10">
        <v>2013</v>
      </c>
      <c r="B213" s="11" t="s">
        <v>466</v>
      </c>
      <c r="C213" s="11" t="s">
        <v>467</v>
      </c>
      <c r="D213" s="12">
        <v>1021011</v>
      </c>
      <c r="E213" s="12">
        <v>1</v>
      </c>
      <c r="F213" s="12"/>
      <c r="G213" s="12">
        <v>60</v>
      </c>
      <c r="H213" s="12" t="s">
        <v>60</v>
      </c>
      <c r="I213" s="12"/>
      <c r="J213" s="12" t="s">
        <v>61</v>
      </c>
      <c r="K213" s="12" t="b">
        <v>1</v>
      </c>
      <c r="L213" s="12">
        <v>7</v>
      </c>
      <c r="M213" s="8">
        <v>2020</v>
      </c>
      <c r="N213" s="9">
        <v>5100000</v>
      </c>
      <c r="O213" s="13">
        <v>41578</v>
      </c>
      <c r="P213" s="13">
        <v>41578</v>
      </c>
    </row>
    <row r="214" spans="1:16">
      <c r="A214" s="10">
        <v>2013</v>
      </c>
      <c r="B214" s="11" t="s">
        <v>466</v>
      </c>
      <c r="C214" s="11" t="s">
        <v>467</v>
      </c>
      <c r="D214" s="12">
        <v>1021011</v>
      </c>
      <c r="E214" s="12">
        <v>1</v>
      </c>
      <c r="F214" s="12"/>
      <c r="G214" s="12">
        <v>60</v>
      </c>
      <c r="H214" s="12" t="s">
        <v>60</v>
      </c>
      <c r="I214" s="12"/>
      <c r="J214" s="12" t="s">
        <v>61</v>
      </c>
      <c r="K214" s="12" t="b">
        <v>1</v>
      </c>
      <c r="L214" s="12">
        <v>5</v>
      </c>
      <c r="M214" s="8">
        <v>2018</v>
      </c>
      <c r="N214" s="9">
        <v>4700000</v>
      </c>
      <c r="O214" s="13">
        <v>41578</v>
      </c>
      <c r="P214" s="13">
        <v>41578</v>
      </c>
    </row>
    <row r="215" spans="1:16">
      <c r="A215" s="10">
        <v>2013</v>
      </c>
      <c r="B215" s="11" t="s">
        <v>466</v>
      </c>
      <c r="C215" s="11" t="s">
        <v>467</v>
      </c>
      <c r="D215" s="12">
        <v>1021011</v>
      </c>
      <c r="E215" s="12">
        <v>1</v>
      </c>
      <c r="F215" s="12"/>
      <c r="G215" s="12">
        <v>60</v>
      </c>
      <c r="H215" s="12" t="s">
        <v>60</v>
      </c>
      <c r="I215" s="12"/>
      <c r="J215" s="12" t="s">
        <v>61</v>
      </c>
      <c r="K215" s="12" t="b">
        <v>1</v>
      </c>
      <c r="L215" s="12">
        <v>2</v>
      </c>
      <c r="M215" s="8">
        <v>2015</v>
      </c>
      <c r="N215" s="9">
        <v>4100000</v>
      </c>
      <c r="O215" s="13">
        <v>41578</v>
      </c>
      <c r="P215" s="13">
        <v>41578</v>
      </c>
    </row>
    <row r="216" spans="1:16">
      <c r="A216" s="10">
        <v>2013</v>
      </c>
      <c r="B216" s="11" t="s">
        <v>466</v>
      </c>
      <c r="C216" s="11" t="s">
        <v>467</v>
      </c>
      <c r="D216" s="12">
        <v>1021011</v>
      </c>
      <c r="E216" s="12">
        <v>1</v>
      </c>
      <c r="F216" s="12"/>
      <c r="G216" s="12">
        <v>740</v>
      </c>
      <c r="H216" s="12" t="s">
        <v>146</v>
      </c>
      <c r="I216" s="12"/>
      <c r="J216" s="12" t="s">
        <v>147</v>
      </c>
      <c r="K216" s="12" t="b">
        <v>0</v>
      </c>
      <c r="L216" s="12">
        <v>1</v>
      </c>
      <c r="M216" s="8">
        <v>2014</v>
      </c>
      <c r="N216" s="9">
        <v>222594.71</v>
      </c>
      <c r="O216" s="13">
        <v>41578</v>
      </c>
      <c r="P216" s="13">
        <v>41578</v>
      </c>
    </row>
    <row r="217" spans="1:16">
      <c r="A217" s="10">
        <v>2013</v>
      </c>
      <c r="B217" s="11" t="s">
        <v>466</v>
      </c>
      <c r="C217" s="11" t="s">
        <v>467</v>
      </c>
      <c r="D217" s="12">
        <v>1021011</v>
      </c>
      <c r="E217" s="12">
        <v>1</v>
      </c>
      <c r="F217" s="12"/>
      <c r="G217" s="12">
        <v>740</v>
      </c>
      <c r="H217" s="12" t="s">
        <v>146</v>
      </c>
      <c r="I217" s="12"/>
      <c r="J217" s="12" t="s">
        <v>147</v>
      </c>
      <c r="K217" s="12" t="b">
        <v>0</v>
      </c>
      <c r="L217" s="12">
        <v>0</v>
      </c>
      <c r="M217" s="8">
        <v>2013</v>
      </c>
      <c r="N217" s="9">
        <v>1681470</v>
      </c>
      <c r="O217" s="13">
        <v>41578</v>
      </c>
      <c r="P217" s="13">
        <v>41578</v>
      </c>
    </row>
    <row r="218" spans="1:16">
      <c r="A218" s="10">
        <v>2013</v>
      </c>
      <c r="B218" s="11" t="s">
        <v>466</v>
      </c>
      <c r="C218" s="11" t="s">
        <v>467</v>
      </c>
      <c r="D218" s="12">
        <v>1021011</v>
      </c>
      <c r="E218" s="12">
        <v>1</v>
      </c>
      <c r="F218" s="12"/>
      <c r="G218" s="12">
        <v>470</v>
      </c>
      <c r="H218" s="12">
        <v>9.3000000000000007</v>
      </c>
      <c r="I218" s="12" t="s">
        <v>3</v>
      </c>
      <c r="J218" s="12" t="s">
        <v>4</v>
      </c>
      <c r="K218" s="12" t="b">
        <v>1</v>
      </c>
      <c r="L218" s="12">
        <v>10</v>
      </c>
      <c r="M218" s="8">
        <v>2023</v>
      </c>
      <c r="N218" s="9">
        <v>5.2499999999999998E-2</v>
      </c>
      <c r="O218" s="13">
        <v>41578</v>
      </c>
      <c r="P218" s="13">
        <v>41578</v>
      </c>
    </row>
    <row r="219" spans="1:16">
      <c r="A219" s="10">
        <v>2013</v>
      </c>
      <c r="B219" s="11" t="s">
        <v>466</v>
      </c>
      <c r="C219" s="11" t="s">
        <v>467</v>
      </c>
      <c r="D219" s="12">
        <v>1021011</v>
      </c>
      <c r="E219" s="12">
        <v>1</v>
      </c>
      <c r="F219" s="12"/>
      <c r="G219" s="12">
        <v>470</v>
      </c>
      <c r="H219" s="12">
        <v>9.3000000000000007</v>
      </c>
      <c r="I219" s="12" t="s">
        <v>3</v>
      </c>
      <c r="J219" s="12" t="s">
        <v>4</v>
      </c>
      <c r="K219" s="12" t="b">
        <v>1</v>
      </c>
      <c r="L219" s="12">
        <v>0</v>
      </c>
      <c r="M219" s="8">
        <v>2013</v>
      </c>
      <c r="N219" s="9">
        <v>0.14560000000000001</v>
      </c>
      <c r="O219" s="13">
        <v>41578</v>
      </c>
      <c r="P219" s="13">
        <v>41578</v>
      </c>
    </row>
    <row r="220" spans="1:16">
      <c r="A220" s="10">
        <v>2013</v>
      </c>
      <c r="B220" s="11" t="s">
        <v>466</v>
      </c>
      <c r="C220" s="11" t="s">
        <v>467</v>
      </c>
      <c r="D220" s="12">
        <v>1021011</v>
      </c>
      <c r="E220" s="12">
        <v>1</v>
      </c>
      <c r="F220" s="12"/>
      <c r="G220" s="12">
        <v>470</v>
      </c>
      <c r="H220" s="12">
        <v>9.3000000000000007</v>
      </c>
      <c r="I220" s="12" t="s">
        <v>3</v>
      </c>
      <c r="J220" s="12" t="s">
        <v>4</v>
      </c>
      <c r="K220" s="12" t="b">
        <v>1</v>
      </c>
      <c r="L220" s="12">
        <v>8</v>
      </c>
      <c r="M220" s="8">
        <v>2021</v>
      </c>
      <c r="N220" s="9">
        <v>5.5800000000000002E-2</v>
      </c>
      <c r="O220" s="13">
        <v>41578</v>
      </c>
      <c r="P220" s="13">
        <v>41578</v>
      </c>
    </row>
    <row r="221" spans="1:16">
      <c r="A221" s="10">
        <v>2013</v>
      </c>
      <c r="B221" s="11" t="s">
        <v>466</v>
      </c>
      <c r="C221" s="11" t="s">
        <v>467</v>
      </c>
      <c r="D221" s="12">
        <v>1021011</v>
      </c>
      <c r="E221" s="12">
        <v>1</v>
      </c>
      <c r="F221" s="12"/>
      <c r="G221" s="12">
        <v>470</v>
      </c>
      <c r="H221" s="12">
        <v>9.3000000000000007</v>
      </c>
      <c r="I221" s="12" t="s">
        <v>3</v>
      </c>
      <c r="J221" s="12" t="s">
        <v>4</v>
      </c>
      <c r="K221" s="12" t="b">
        <v>1</v>
      </c>
      <c r="L221" s="12">
        <v>3</v>
      </c>
      <c r="M221" s="8">
        <v>2016</v>
      </c>
      <c r="N221" s="9">
        <v>6.9199999999999998E-2</v>
      </c>
      <c r="O221" s="13">
        <v>41578</v>
      </c>
      <c r="P221" s="13">
        <v>41578</v>
      </c>
    </row>
    <row r="222" spans="1:16">
      <c r="A222" s="10">
        <v>2013</v>
      </c>
      <c r="B222" s="11" t="s">
        <v>466</v>
      </c>
      <c r="C222" s="11" t="s">
        <v>467</v>
      </c>
      <c r="D222" s="12">
        <v>1021011</v>
      </c>
      <c r="E222" s="12">
        <v>1</v>
      </c>
      <c r="F222" s="12"/>
      <c r="G222" s="12">
        <v>470</v>
      </c>
      <c r="H222" s="12">
        <v>9.3000000000000007</v>
      </c>
      <c r="I222" s="12" t="s">
        <v>3</v>
      </c>
      <c r="J222" s="12" t="s">
        <v>4</v>
      </c>
      <c r="K222" s="12" t="b">
        <v>1</v>
      </c>
      <c r="L222" s="12">
        <v>4</v>
      </c>
      <c r="M222" s="8">
        <v>2017</v>
      </c>
      <c r="N222" s="9">
        <v>7.6899999999999996E-2</v>
      </c>
      <c r="O222" s="13">
        <v>41578</v>
      </c>
      <c r="P222" s="13">
        <v>41578</v>
      </c>
    </row>
    <row r="223" spans="1:16">
      <c r="A223" s="10">
        <v>2013</v>
      </c>
      <c r="B223" s="11" t="s">
        <v>466</v>
      </c>
      <c r="C223" s="11" t="s">
        <v>467</v>
      </c>
      <c r="D223" s="12">
        <v>1021011</v>
      </c>
      <c r="E223" s="12">
        <v>1</v>
      </c>
      <c r="F223" s="12"/>
      <c r="G223" s="12">
        <v>470</v>
      </c>
      <c r="H223" s="12">
        <v>9.3000000000000007</v>
      </c>
      <c r="I223" s="12" t="s">
        <v>3</v>
      </c>
      <c r="J223" s="12" t="s">
        <v>4</v>
      </c>
      <c r="K223" s="12" t="b">
        <v>1</v>
      </c>
      <c r="L223" s="12">
        <v>2</v>
      </c>
      <c r="M223" s="8">
        <v>2015</v>
      </c>
      <c r="N223" s="9">
        <v>5.9799999999999999E-2</v>
      </c>
      <c r="O223" s="13">
        <v>41578</v>
      </c>
      <c r="P223" s="13">
        <v>41578</v>
      </c>
    </row>
    <row r="224" spans="1:16">
      <c r="A224" s="10">
        <v>2013</v>
      </c>
      <c r="B224" s="11" t="s">
        <v>466</v>
      </c>
      <c r="C224" s="11" t="s">
        <v>467</v>
      </c>
      <c r="D224" s="12">
        <v>1021011</v>
      </c>
      <c r="E224" s="12">
        <v>1</v>
      </c>
      <c r="F224" s="12"/>
      <c r="G224" s="12">
        <v>470</v>
      </c>
      <c r="H224" s="12">
        <v>9.3000000000000007</v>
      </c>
      <c r="I224" s="12" t="s">
        <v>3</v>
      </c>
      <c r="J224" s="12" t="s">
        <v>4</v>
      </c>
      <c r="K224" s="12" t="b">
        <v>1</v>
      </c>
      <c r="L224" s="12">
        <v>6</v>
      </c>
      <c r="M224" s="8">
        <v>2019</v>
      </c>
      <c r="N224" s="9">
        <v>6.13E-2</v>
      </c>
      <c r="O224" s="13">
        <v>41578</v>
      </c>
      <c r="P224" s="13">
        <v>41578</v>
      </c>
    </row>
    <row r="225" spans="1:16">
      <c r="A225" s="10">
        <v>2013</v>
      </c>
      <c r="B225" s="11" t="s">
        <v>466</v>
      </c>
      <c r="C225" s="11" t="s">
        <v>467</v>
      </c>
      <c r="D225" s="12">
        <v>1021011</v>
      </c>
      <c r="E225" s="12">
        <v>1</v>
      </c>
      <c r="F225" s="12"/>
      <c r="G225" s="12">
        <v>470</v>
      </c>
      <c r="H225" s="12">
        <v>9.3000000000000007</v>
      </c>
      <c r="I225" s="12" t="s">
        <v>3</v>
      </c>
      <c r="J225" s="12" t="s">
        <v>4</v>
      </c>
      <c r="K225" s="12" t="b">
        <v>1</v>
      </c>
      <c r="L225" s="12">
        <v>1</v>
      </c>
      <c r="M225" s="8">
        <v>2014</v>
      </c>
      <c r="N225" s="9">
        <v>5.2400000000000002E-2</v>
      </c>
      <c r="O225" s="13">
        <v>41578</v>
      </c>
      <c r="P225" s="13">
        <v>41578</v>
      </c>
    </row>
    <row r="226" spans="1:16">
      <c r="A226" s="10">
        <v>2013</v>
      </c>
      <c r="B226" s="11" t="s">
        <v>466</v>
      </c>
      <c r="C226" s="11" t="s">
        <v>467</v>
      </c>
      <c r="D226" s="12">
        <v>1021011</v>
      </c>
      <c r="E226" s="12">
        <v>1</v>
      </c>
      <c r="F226" s="12"/>
      <c r="G226" s="12">
        <v>470</v>
      </c>
      <c r="H226" s="12">
        <v>9.3000000000000007</v>
      </c>
      <c r="I226" s="12" t="s">
        <v>3</v>
      </c>
      <c r="J226" s="12" t="s">
        <v>4</v>
      </c>
      <c r="K226" s="12" t="b">
        <v>1</v>
      </c>
      <c r="L226" s="12">
        <v>5</v>
      </c>
      <c r="M226" s="8">
        <v>2018</v>
      </c>
      <c r="N226" s="9">
        <v>6.6299999999999998E-2</v>
      </c>
      <c r="O226" s="13">
        <v>41578</v>
      </c>
      <c r="P226" s="13">
        <v>41578</v>
      </c>
    </row>
    <row r="227" spans="1:16">
      <c r="A227" s="10">
        <v>2013</v>
      </c>
      <c r="B227" s="11" t="s">
        <v>466</v>
      </c>
      <c r="C227" s="11" t="s">
        <v>467</v>
      </c>
      <c r="D227" s="12">
        <v>1021011</v>
      </c>
      <c r="E227" s="12">
        <v>1</v>
      </c>
      <c r="F227" s="12"/>
      <c r="G227" s="12">
        <v>470</v>
      </c>
      <c r="H227" s="12">
        <v>9.3000000000000007</v>
      </c>
      <c r="I227" s="12" t="s">
        <v>3</v>
      </c>
      <c r="J227" s="12" t="s">
        <v>4</v>
      </c>
      <c r="K227" s="12" t="b">
        <v>1</v>
      </c>
      <c r="L227" s="12">
        <v>7</v>
      </c>
      <c r="M227" s="8">
        <v>2020</v>
      </c>
      <c r="N227" s="9">
        <v>5.8400000000000001E-2</v>
      </c>
      <c r="O227" s="13">
        <v>41578</v>
      </c>
      <c r="P227" s="13">
        <v>41578</v>
      </c>
    </row>
    <row r="228" spans="1:16">
      <c r="A228" s="10">
        <v>2013</v>
      </c>
      <c r="B228" s="11" t="s">
        <v>466</v>
      </c>
      <c r="C228" s="11" t="s">
        <v>467</v>
      </c>
      <c r="D228" s="12">
        <v>1021011</v>
      </c>
      <c r="E228" s="12">
        <v>1</v>
      </c>
      <c r="F228" s="12"/>
      <c r="G228" s="12">
        <v>470</v>
      </c>
      <c r="H228" s="12">
        <v>9.3000000000000007</v>
      </c>
      <c r="I228" s="12" t="s">
        <v>3</v>
      </c>
      <c r="J228" s="12" t="s">
        <v>4</v>
      </c>
      <c r="K228" s="12" t="b">
        <v>1</v>
      </c>
      <c r="L228" s="12">
        <v>9</v>
      </c>
      <c r="M228" s="8">
        <v>2022</v>
      </c>
      <c r="N228" s="9">
        <v>5.3199999999999997E-2</v>
      </c>
      <c r="O228" s="13">
        <v>41578</v>
      </c>
      <c r="P228" s="13">
        <v>41578</v>
      </c>
    </row>
    <row r="229" spans="1:16">
      <c r="A229" s="10">
        <v>2013</v>
      </c>
      <c r="B229" s="11" t="s">
        <v>466</v>
      </c>
      <c r="C229" s="11" t="s">
        <v>467</v>
      </c>
      <c r="D229" s="12">
        <v>1021011</v>
      </c>
      <c r="E229" s="12">
        <v>1</v>
      </c>
      <c r="F229" s="12"/>
      <c r="G229" s="12">
        <v>620</v>
      </c>
      <c r="H229" s="12" t="s">
        <v>129</v>
      </c>
      <c r="I229" s="12"/>
      <c r="J229" s="12" t="s">
        <v>130</v>
      </c>
      <c r="K229" s="12" t="b">
        <v>1</v>
      </c>
      <c r="L229" s="12">
        <v>0</v>
      </c>
      <c r="M229" s="8">
        <v>2013</v>
      </c>
      <c r="N229" s="9">
        <v>2431740.56</v>
      </c>
      <c r="O229" s="13">
        <v>41578</v>
      </c>
      <c r="P229" s="13">
        <v>41578</v>
      </c>
    </row>
    <row r="230" spans="1:16">
      <c r="A230" s="10">
        <v>2013</v>
      </c>
      <c r="B230" s="11" t="s">
        <v>466</v>
      </c>
      <c r="C230" s="11" t="s">
        <v>467</v>
      </c>
      <c r="D230" s="12">
        <v>1021011</v>
      </c>
      <c r="E230" s="12">
        <v>1</v>
      </c>
      <c r="F230" s="12"/>
      <c r="G230" s="12">
        <v>620</v>
      </c>
      <c r="H230" s="12" t="s">
        <v>129</v>
      </c>
      <c r="I230" s="12"/>
      <c r="J230" s="12" t="s">
        <v>130</v>
      </c>
      <c r="K230" s="12" t="b">
        <v>1</v>
      </c>
      <c r="L230" s="12">
        <v>1</v>
      </c>
      <c r="M230" s="8">
        <v>2014</v>
      </c>
      <c r="N230" s="9">
        <v>3620690.3</v>
      </c>
      <c r="O230" s="13">
        <v>41578</v>
      </c>
      <c r="P230" s="13">
        <v>41578</v>
      </c>
    </row>
    <row r="231" spans="1:16">
      <c r="A231" s="10">
        <v>2013</v>
      </c>
      <c r="B231" s="11" t="s">
        <v>466</v>
      </c>
      <c r="C231" s="11" t="s">
        <v>467</v>
      </c>
      <c r="D231" s="12">
        <v>1021011</v>
      </c>
      <c r="E231" s="12">
        <v>1</v>
      </c>
      <c r="F231" s="12"/>
      <c r="G231" s="12">
        <v>540</v>
      </c>
      <c r="H231" s="12" t="s">
        <v>119</v>
      </c>
      <c r="I231" s="12" t="s">
        <v>5</v>
      </c>
      <c r="J231" s="12" t="s">
        <v>120</v>
      </c>
      <c r="K231" s="12" t="b">
        <v>0</v>
      </c>
      <c r="L231" s="12">
        <v>4</v>
      </c>
      <c r="M231" s="8">
        <v>2017</v>
      </c>
      <c r="N231" s="9">
        <v>612</v>
      </c>
      <c r="O231" s="13">
        <v>41578</v>
      </c>
      <c r="P231" s="13">
        <v>41578</v>
      </c>
    </row>
    <row r="232" spans="1:16">
      <c r="A232" s="10">
        <v>2013</v>
      </c>
      <c r="B232" s="11" t="s">
        <v>466</v>
      </c>
      <c r="C232" s="11" t="s">
        <v>467</v>
      </c>
      <c r="D232" s="12">
        <v>1021011</v>
      </c>
      <c r="E232" s="12">
        <v>1</v>
      </c>
      <c r="F232" s="12"/>
      <c r="G232" s="12">
        <v>540</v>
      </c>
      <c r="H232" s="12" t="s">
        <v>119</v>
      </c>
      <c r="I232" s="12" t="s">
        <v>5</v>
      </c>
      <c r="J232" s="12" t="s">
        <v>120</v>
      </c>
      <c r="K232" s="12" t="b">
        <v>0</v>
      </c>
      <c r="L232" s="12">
        <v>6</v>
      </c>
      <c r="M232" s="8">
        <v>2019</v>
      </c>
      <c r="N232" s="9">
        <v>695</v>
      </c>
      <c r="O232" s="13">
        <v>41578</v>
      </c>
      <c r="P232" s="13">
        <v>41578</v>
      </c>
    </row>
    <row r="233" spans="1:16">
      <c r="A233" s="10">
        <v>2013</v>
      </c>
      <c r="B233" s="11" t="s">
        <v>466</v>
      </c>
      <c r="C233" s="11" t="s">
        <v>467</v>
      </c>
      <c r="D233" s="12">
        <v>1021011</v>
      </c>
      <c r="E233" s="12">
        <v>1</v>
      </c>
      <c r="F233" s="12"/>
      <c r="G233" s="12">
        <v>540</v>
      </c>
      <c r="H233" s="12" t="s">
        <v>119</v>
      </c>
      <c r="I233" s="12" t="s">
        <v>5</v>
      </c>
      <c r="J233" s="12" t="s">
        <v>120</v>
      </c>
      <c r="K233" s="12" t="b">
        <v>0</v>
      </c>
      <c r="L233" s="12">
        <v>5</v>
      </c>
      <c r="M233" s="8">
        <v>2018</v>
      </c>
      <c r="N233" s="9">
        <v>668</v>
      </c>
      <c r="O233" s="13">
        <v>41578</v>
      </c>
      <c r="P233" s="13">
        <v>41578</v>
      </c>
    </row>
    <row r="234" spans="1:16">
      <c r="A234" s="10">
        <v>2013</v>
      </c>
      <c r="B234" s="11" t="s">
        <v>466</v>
      </c>
      <c r="C234" s="11" t="s">
        <v>467</v>
      </c>
      <c r="D234" s="12">
        <v>1021011</v>
      </c>
      <c r="E234" s="12">
        <v>1</v>
      </c>
      <c r="F234" s="12"/>
      <c r="G234" s="12">
        <v>550</v>
      </c>
      <c r="H234" s="12">
        <v>10</v>
      </c>
      <c r="I234" s="12"/>
      <c r="J234" s="12" t="s">
        <v>121</v>
      </c>
      <c r="K234" s="12" t="b">
        <v>0</v>
      </c>
      <c r="L234" s="12">
        <v>5</v>
      </c>
      <c r="M234" s="8">
        <v>2018</v>
      </c>
      <c r="N234" s="9">
        <v>1678204</v>
      </c>
      <c r="O234" s="13">
        <v>41578</v>
      </c>
      <c r="P234" s="13">
        <v>41578</v>
      </c>
    </row>
    <row r="235" spans="1:16">
      <c r="A235" s="10">
        <v>2013</v>
      </c>
      <c r="B235" s="11" t="s">
        <v>466</v>
      </c>
      <c r="C235" s="11" t="s">
        <v>467</v>
      </c>
      <c r="D235" s="12">
        <v>1021011</v>
      </c>
      <c r="E235" s="12">
        <v>1</v>
      </c>
      <c r="F235" s="12"/>
      <c r="G235" s="12">
        <v>540</v>
      </c>
      <c r="H235" s="12" t="s">
        <v>119</v>
      </c>
      <c r="I235" s="12" t="s">
        <v>5</v>
      </c>
      <c r="J235" s="12" t="s">
        <v>120</v>
      </c>
      <c r="K235" s="12" t="b">
        <v>0</v>
      </c>
      <c r="L235" s="12">
        <v>0</v>
      </c>
      <c r="M235" s="8">
        <v>2013</v>
      </c>
      <c r="N235" s="9">
        <v>-724</v>
      </c>
      <c r="O235" s="13">
        <v>41578</v>
      </c>
      <c r="P235" s="13">
        <v>41578</v>
      </c>
    </row>
    <row r="236" spans="1:16">
      <c r="A236" s="10">
        <v>2013</v>
      </c>
      <c r="B236" s="11" t="s">
        <v>466</v>
      </c>
      <c r="C236" s="11" t="s">
        <v>467</v>
      </c>
      <c r="D236" s="12">
        <v>1021011</v>
      </c>
      <c r="E236" s="12">
        <v>1</v>
      </c>
      <c r="F236" s="12"/>
      <c r="G236" s="12">
        <v>540</v>
      </c>
      <c r="H236" s="12" t="s">
        <v>119</v>
      </c>
      <c r="I236" s="12" t="s">
        <v>5</v>
      </c>
      <c r="J236" s="12" t="s">
        <v>120</v>
      </c>
      <c r="K236" s="12" t="b">
        <v>0</v>
      </c>
      <c r="L236" s="12">
        <v>10</v>
      </c>
      <c r="M236" s="8">
        <v>2023</v>
      </c>
      <c r="N236" s="9">
        <v>768</v>
      </c>
      <c r="O236" s="13">
        <v>41578</v>
      </c>
      <c r="P236" s="13">
        <v>41578</v>
      </c>
    </row>
    <row r="237" spans="1:16">
      <c r="A237" s="10">
        <v>2013</v>
      </c>
      <c r="B237" s="11" t="s">
        <v>466</v>
      </c>
      <c r="C237" s="11" t="s">
        <v>467</v>
      </c>
      <c r="D237" s="12">
        <v>1021011</v>
      </c>
      <c r="E237" s="12">
        <v>1</v>
      </c>
      <c r="F237" s="12"/>
      <c r="G237" s="12">
        <v>540</v>
      </c>
      <c r="H237" s="12" t="s">
        <v>119</v>
      </c>
      <c r="I237" s="12" t="s">
        <v>5</v>
      </c>
      <c r="J237" s="12" t="s">
        <v>120</v>
      </c>
      <c r="K237" s="12" t="b">
        <v>0</v>
      </c>
      <c r="L237" s="12">
        <v>1</v>
      </c>
      <c r="M237" s="8">
        <v>2014</v>
      </c>
      <c r="N237" s="9">
        <v>106</v>
      </c>
      <c r="O237" s="13">
        <v>41578</v>
      </c>
      <c r="P237" s="13">
        <v>41578</v>
      </c>
    </row>
    <row r="238" spans="1:16">
      <c r="A238" s="10">
        <v>2013</v>
      </c>
      <c r="B238" s="11" t="s">
        <v>466</v>
      </c>
      <c r="C238" s="11" t="s">
        <v>467</v>
      </c>
      <c r="D238" s="12">
        <v>1021011</v>
      </c>
      <c r="E238" s="12">
        <v>1</v>
      </c>
      <c r="F238" s="12"/>
      <c r="G238" s="12">
        <v>540</v>
      </c>
      <c r="H238" s="12" t="s">
        <v>119</v>
      </c>
      <c r="I238" s="12" t="s">
        <v>5</v>
      </c>
      <c r="J238" s="12" t="s">
        <v>120</v>
      </c>
      <c r="K238" s="12" t="b">
        <v>0</v>
      </c>
      <c r="L238" s="12">
        <v>7</v>
      </c>
      <c r="M238" s="8">
        <v>2020</v>
      </c>
      <c r="N238" s="9">
        <v>730</v>
      </c>
      <c r="O238" s="13">
        <v>41578</v>
      </c>
      <c r="P238" s="13">
        <v>41578</v>
      </c>
    </row>
    <row r="239" spans="1:16">
      <c r="A239" s="10">
        <v>2013</v>
      </c>
      <c r="B239" s="11" t="s">
        <v>466</v>
      </c>
      <c r="C239" s="11" t="s">
        <v>467</v>
      </c>
      <c r="D239" s="12">
        <v>1021011</v>
      </c>
      <c r="E239" s="12">
        <v>1</v>
      </c>
      <c r="F239" s="12"/>
      <c r="G239" s="12">
        <v>540</v>
      </c>
      <c r="H239" s="12" t="s">
        <v>119</v>
      </c>
      <c r="I239" s="12" t="s">
        <v>5</v>
      </c>
      <c r="J239" s="12" t="s">
        <v>120</v>
      </c>
      <c r="K239" s="12" t="b">
        <v>0</v>
      </c>
      <c r="L239" s="12">
        <v>9</v>
      </c>
      <c r="M239" s="8">
        <v>2022</v>
      </c>
      <c r="N239" s="9">
        <v>769</v>
      </c>
      <c r="O239" s="13">
        <v>41578</v>
      </c>
      <c r="P239" s="13">
        <v>41578</v>
      </c>
    </row>
    <row r="240" spans="1:16">
      <c r="A240" s="10">
        <v>2013</v>
      </c>
      <c r="B240" s="11" t="s">
        <v>466</v>
      </c>
      <c r="C240" s="11" t="s">
        <v>467</v>
      </c>
      <c r="D240" s="12">
        <v>1021011</v>
      </c>
      <c r="E240" s="12">
        <v>1</v>
      </c>
      <c r="F240" s="12"/>
      <c r="G240" s="12">
        <v>540</v>
      </c>
      <c r="H240" s="12" t="s">
        <v>119</v>
      </c>
      <c r="I240" s="12" t="s">
        <v>5</v>
      </c>
      <c r="J240" s="12" t="s">
        <v>120</v>
      </c>
      <c r="K240" s="12" t="b">
        <v>0</v>
      </c>
      <c r="L240" s="12">
        <v>3</v>
      </c>
      <c r="M240" s="8">
        <v>2016</v>
      </c>
      <c r="N240" s="9">
        <v>370</v>
      </c>
      <c r="O240" s="13">
        <v>41578</v>
      </c>
      <c r="P240" s="13">
        <v>41578</v>
      </c>
    </row>
    <row r="241" spans="1:16">
      <c r="A241" s="10">
        <v>2013</v>
      </c>
      <c r="B241" s="11" t="s">
        <v>466</v>
      </c>
      <c r="C241" s="11" t="s">
        <v>467</v>
      </c>
      <c r="D241" s="12">
        <v>1021011</v>
      </c>
      <c r="E241" s="12">
        <v>1</v>
      </c>
      <c r="F241" s="12"/>
      <c r="G241" s="12">
        <v>540</v>
      </c>
      <c r="H241" s="12" t="s">
        <v>119</v>
      </c>
      <c r="I241" s="12" t="s">
        <v>5</v>
      </c>
      <c r="J241" s="12" t="s">
        <v>120</v>
      </c>
      <c r="K241" s="12" t="b">
        <v>0</v>
      </c>
      <c r="L241" s="12">
        <v>8</v>
      </c>
      <c r="M241" s="8">
        <v>2021</v>
      </c>
      <c r="N241" s="9">
        <v>751</v>
      </c>
      <c r="O241" s="13">
        <v>41578</v>
      </c>
      <c r="P241" s="13">
        <v>41578</v>
      </c>
    </row>
    <row r="242" spans="1:16">
      <c r="A242" s="10">
        <v>2013</v>
      </c>
      <c r="B242" s="11" t="s">
        <v>466</v>
      </c>
      <c r="C242" s="11" t="s">
        <v>467</v>
      </c>
      <c r="D242" s="12">
        <v>1021011</v>
      </c>
      <c r="E242" s="12">
        <v>1</v>
      </c>
      <c r="F242" s="12"/>
      <c r="G242" s="12">
        <v>540</v>
      </c>
      <c r="H242" s="12" t="s">
        <v>119</v>
      </c>
      <c r="I242" s="12" t="s">
        <v>5</v>
      </c>
      <c r="J242" s="12" t="s">
        <v>120</v>
      </c>
      <c r="K242" s="12" t="b">
        <v>0</v>
      </c>
      <c r="L242" s="12">
        <v>2</v>
      </c>
      <c r="M242" s="8">
        <v>2015</v>
      </c>
      <c r="N242" s="9">
        <v>274</v>
      </c>
      <c r="O242" s="13">
        <v>41578</v>
      </c>
      <c r="P242" s="13">
        <v>41578</v>
      </c>
    </row>
    <row r="243" spans="1:16">
      <c r="A243" s="10">
        <v>2013</v>
      </c>
      <c r="B243" s="11" t="s">
        <v>466</v>
      </c>
      <c r="C243" s="11" t="s">
        <v>467</v>
      </c>
      <c r="D243" s="12">
        <v>1021011</v>
      </c>
      <c r="E243" s="12">
        <v>1</v>
      </c>
      <c r="F243" s="12"/>
      <c r="G243" s="12">
        <v>240</v>
      </c>
      <c r="H243" s="12">
        <v>4.2</v>
      </c>
      <c r="I243" s="12"/>
      <c r="J243" s="12" t="s">
        <v>86</v>
      </c>
      <c r="K243" s="12" t="b">
        <v>0</v>
      </c>
      <c r="L243" s="12">
        <v>0</v>
      </c>
      <c r="M243" s="8">
        <v>2013</v>
      </c>
      <c r="N243" s="9">
        <v>2607411.2200000002</v>
      </c>
      <c r="O243" s="13">
        <v>41578</v>
      </c>
      <c r="P243" s="13">
        <v>41578</v>
      </c>
    </row>
    <row r="244" spans="1:16">
      <c r="A244" s="10">
        <v>2013</v>
      </c>
      <c r="B244" s="11" t="s">
        <v>466</v>
      </c>
      <c r="C244" s="11" t="s">
        <v>467</v>
      </c>
      <c r="D244" s="12">
        <v>1021011</v>
      </c>
      <c r="E244" s="12">
        <v>1</v>
      </c>
      <c r="F244" s="12"/>
      <c r="G244" s="12">
        <v>450</v>
      </c>
      <c r="H244" s="12">
        <v>9.1</v>
      </c>
      <c r="I244" s="12" t="s">
        <v>3</v>
      </c>
      <c r="J244" s="12" t="s">
        <v>108</v>
      </c>
      <c r="K244" s="12" t="b">
        <v>1</v>
      </c>
      <c r="L244" s="12">
        <v>5</v>
      </c>
      <c r="M244" s="8">
        <v>2018</v>
      </c>
      <c r="N244" s="9">
        <v>6.6299999999999998E-2</v>
      </c>
      <c r="O244" s="13">
        <v>41578</v>
      </c>
      <c r="P244" s="13">
        <v>41578</v>
      </c>
    </row>
    <row r="245" spans="1:16">
      <c r="A245" s="10">
        <v>2013</v>
      </c>
      <c r="B245" s="11" t="s">
        <v>466</v>
      </c>
      <c r="C245" s="11" t="s">
        <v>467</v>
      </c>
      <c r="D245" s="12">
        <v>1021011</v>
      </c>
      <c r="E245" s="12">
        <v>1</v>
      </c>
      <c r="F245" s="12"/>
      <c r="G245" s="12">
        <v>450</v>
      </c>
      <c r="H245" s="12">
        <v>9.1</v>
      </c>
      <c r="I245" s="12" t="s">
        <v>3</v>
      </c>
      <c r="J245" s="12" t="s">
        <v>108</v>
      </c>
      <c r="K245" s="12" t="b">
        <v>1</v>
      </c>
      <c r="L245" s="12">
        <v>3</v>
      </c>
      <c r="M245" s="8">
        <v>2016</v>
      </c>
      <c r="N245" s="9">
        <v>6.9199999999999998E-2</v>
      </c>
      <c r="O245" s="13">
        <v>41578</v>
      </c>
      <c r="P245" s="13">
        <v>41578</v>
      </c>
    </row>
    <row r="246" spans="1:16">
      <c r="A246" s="10">
        <v>2013</v>
      </c>
      <c r="B246" s="11" t="s">
        <v>466</v>
      </c>
      <c r="C246" s="11" t="s">
        <v>467</v>
      </c>
      <c r="D246" s="12">
        <v>1021011</v>
      </c>
      <c r="E246" s="12">
        <v>1</v>
      </c>
      <c r="F246" s="12"/>
      <c r="G246" s="12">
        <v>450</v>
      </c>
      <c r="H246" s="12">
        <v>9.1</v>
      </c>
      <c r="I246" s="12" t="s">
        <v>3</v>
      </c>
      <c r="J246" s="12" t="s">
        <v>108</v>
      </c>
      <c r="K246" s="12" t="b">
        <v>1</v>
      </c>
      <c r="L246" s="12">
        <v>4</v>
      </c>
      <c r="M246" s="8">
        <v>2017</v>
      </c>
      <c r="N246" s="9">
        <v>7.6899999999999996E-2</v>
      </c>
      <c r="O246" s="13">
        <v>41578</v>
      </c>
      <c r="P246" s="13">
        <v>41578</v>
      </c>
    </row>
    <row r="247" spans="1:16">
      <c r="A247" s="10">
        <v>2013</v>
      </c>
      <c r="B247" s="11" t="s">
        <v>466</v>
      </c>
      <c r="C247" s="11" t="s">
        <v>467</v>
      </c>
      <c r="D247" s="12">
        <v>1021011</v>
      </c>
      <c r="E247" s="12">
        <v>1</v>
      </c>
      <c r="F247" s="12"/>
      <c r="G247" s="12">
        <v>450</v>
      </c>
      <c r="H247" s="12">
        <v>9.1</v>
      </c>
      <c r="I247" s="12" t="s">
        <v>3</v>
      </c>
      <c r="J247" s="12" t="s">
        <v>108</v>
      </c>
      <c r="K247" s="12" t="b">
        <v>1</v>
      </c>
      <c r="L247" s="12">
        <v>2</v>
      </c>
      <c r="M247" s="8">
        <v>2015</v>
      </c>
      <c r="N247" s="9">
        <v>5.9799999999999999E-2</v>
      </c>
      <c r="O247" s="13">
        <v>41578</v>
      </c>
      <c r="P247" s="13">
        <v>41578</v>
      </c>
    </row>
    <row r="248" spans="1:16">
      <c r="A248" s="10">
        <v>2013</v>
      </c>
      <c r="B248" s="11" t="s">
        <v>466</v>
      </c>
      <c r="C248" s="11" t="s">
        <v>467</v>
      </c>
      <c r="D248" s="12">
        <v>1021011</v>
      </c>
      <c r="E248" s="12">
        <v>1</v>
      </c>
      <c r="F248" s="12"/>
      <c r="G248" s="12">
        <v>450</v>
      </c>
      <c r="H248" s="12">
        <v>9.1</v>
      </c>
      <c r="I248" s="12" t="s">
        <v>3</v>
      </c>
      <c r="J248" s="12" t="s">
        <v>108</v>
      </c>
      <c r="K248" s="12" t="b">
        <v>1</v>
      </c>
      <c r="L248" s="12">
        <v>0</v>
      </c>
      <c r="M248" s="8">
        <v>2013</v>
      </c>
      <c r="N248" s="9">
        <v>0.14560000000000001</v>
      </c>
      <c r="O248" s="13">
        <v>41578</v>
      </c>
      <c r="P248" s="13">
        <v>41578</v>
      </c>
    </row>
    <row r="249" spans="1:16">
      <c r="A249" s="10">
        <v>2013</v>
      </c>
      <c r="B249" s="11" t="s">
        <v>466</v>
      </c>
      <c r="C249" s="11" t="s">
        <v>467</v>
      </c>
      <c r="D249" s="12">
        <v>1021011</v>
      </c>
      <c r="E249" s="12">
        <v>1</v>
      </c>
      <c r="F249" s="12"/>
      <c r="G249" s="12">
        <v>450</v>
      </c>
      <c r="H249" s="12">
        <v>9.1</v>
      </c>
      <c r="I249" s="12" t="s">
        <v>3</v>
      </c>
      <c r="J249" s="12" t="s">
        <v>108</v>
      </c>
      <c r="K249" s="12" t="b">
        <v>1</v>
      </c>
      <c r="L249" s="12">
        <v>6</v>
      </c>
      <c r="M249" s="8">
        <v>2019</v>
      </c>
      <c r="N249" s="9">
        <v>6.13E-2</v>
      </c>
      <c r="O249" s="13">
        <v>41578</v>
      </c>
      <c r="P249" s="13">
        <v>41578</v>
      </c>
    </row>
    <row r="250" spans="1:16">
      <c r="A250" s="10">
        <v>2013</v>
      </c>
      <c r="B250" s="11" t="s">
        <v>466</v>
      </c>
      <c r="C250" s="11" t="s">
        <v>467</v>
      </c>
      <c r="D250" s="12">
        <v>1021011</v>
      </c>
      <c r="E250" s="12">
        <v>1</v>
      </c>
      <c r="F250" s="12"/>
      <c r="G250" s="12">
        <v>450</v>
      </c>
      <c r="H250" s="12">
        <v>9.1</v>
      </c>
      <c r="I250" s="12" t="s">
        <v>3</v>
      </c>
      <c r="J250" s="12" t="s">
        <v>108</v>
      </c>
      <c r="K250" s="12" t="b">
        <v>1</v>
      </c>
      <c r="L250" s="12">
        <v>7</v>
      </c>
      <c r="M250" s="8">
        <v>2020</v>
      </c>
      <c r="N250" s="9">
        <v>5.8400000000000001E-2</v>
      </c>
      <c r="O250" s="13">
        <v>41578</v>
      </c>
      <c r="P250" s="13">
        <v>41578</v>
      </c>
    </row>
    <row r="251" spans="1:16">
      <c r="A251" s="10">
        <v>2013</v>
      </c>
      <c r="B251" s="11" t="s">
        <v>466</v>
      </c>
      <c r="C251" s="11" t="s">
        <v>467</v>
      </c>
      <c r="D251" s="12">
        <v>1021011</v>
      </c>
      <c r="E251" s="12">
        <v>1</v>
      </c>
      <c r="F251" s="12"/>
      <c r="G251" s="12">
        <v>450</v>
      </c>
      <c r="H251" s="12">
        <v>9.1</v>
      </c>
      <c r="I251" s="12" t="s">
        <v>3</v>
      </c>
      <c r="J251" s="12" t="s">
        <v>108</v>
      </c>
      <c r="K251" s="12" t="b">
        <v>1</v>
      </c>
      <c r="L251" s="12">
        <v>9</v>
      </c>
      <c r="M251" s="8">
        <v>2022</v>
      </c>
      <c r="N251" s="9">
        <v>5.3199999999999997E-2</v>
      </c>
      <c r="O251" s="13">
        <v>41578</v>
      </c>
      <c r="P251" s="13">
        <v>41578</v>
      </c>
    </row>
    <row r="252" spans="1:16">
      <c r="A252" s="10">
        <v>2013</v>
      </c>
      <c r="B252" s="11" t="s">
        <v>466</v>
      </c>
      <c r="C252" s="11" t="s">
        <v>467</v>
      </c>
      <c r="D252" s="12">
        <v>1021011</v>
      </c>
      <c r="E252" s="12">
        <v>1</v>
      </c>
      <c r="F252" s="12"/>
      <c r="G252" s="12">
        <v>450</v>
      </c>
      <c r="H252" s="12">
        <v>9.1</v>
      </c>
      <c r="I252" s="12" t="s">
        <v>3</v>
      </c>
      <c r="J252" s="12" t="s">
        <v>108</v>
      </c>
      <c r="K252" s="12" t="b">
        <v>1</v>
      </c>
      <c r="L252" s="12">
        <v>1</v>
      </c>
      <c r="M252" s="8">
        <v>2014</v>
      </c>
      <c r="N252" s="9">
        <v>5.2400000000000002E-2</v>
      </c>
      <c r="O252" s="13">
        <v>41578</v>
      </c>
      <c r="P252" s="13">
        <v>41578</v>
      </c>
    </row>
    <row r="253" spans="1:16">
      <c r="A253" s="10">
        <v>2013</v>
      </c>
      <c r="B253" s="11" t="s">
        <v>466</v>
      </c>
      <c r="C253" s="11" t="s">
        <v>467</v>
      </c>
      <c r="D253" s="12">
        <v>1021011</v>
      </c>
      <c r="E253" s="12">
        <v>1</v>
      </c>
      <c r="F253" s="12"/>
      <c r="G253" s="12">
        <v>450</v>
      </c>
      <c r="H253" s="12">
        <v>9.1</v>
      </c>
      <c r="I253" s="12" t="s">
        <v>3</v>
      </c>
      <c r="J253" s="12" t="s">
        <v>108</v>
      </c>
      <c r="K253" s="12" t="b">
        <v>1</v>
      </c>
      <c r="L253" s="12">
        <v>10</v>
      </c>
      <c r="M253" s="8">
        <v>2023</v>
      </c>
      <c r="N253" s="9">
        <v>5.2499999999999998E-2</v>
      </c>
      <c r="O253" s="13">
        <v>41578</v>
      </c>
      <c r="P253" s="13">
        <v>41578</v>
      </c>
    </row>
    <row r="254" spans="1:16">
      <c r="A254" s="10">
        <v>2013</v>
      </c>
      <c r="B254" s="11" t="s">
        <v>466</v>
      </c>
      <c r="C254" s="11" t="s">
        <v>467</v>
      </c>
      <c r="D254" s="12">
        <v>1021011</v>
      </c>
      <c r="E254" s="12">
        <v>1</v>
      </c>
      <c r="F254" s="12"/>
      <c r="G254" s="12">
        <v>450</v>
      </c>
      <c r="H254" s="12">
        <v>9.1</v>
      </c>
      <c r="I254" s="12" t="s">
        <v>3</v>
      </c>
      <c r="J254" s="12" t="s">
        <v>108</v>
      </c>
      <c r="K254" s="12" t="b">
        <v>1</v>
      </c>
      <c r="L254" s="12">
        <v>8</v>
      </c>
      <c r="M254" s="8">
        <v>2021</v>
      </c>
      <c r="N254" s="9">
        <v>5.5800000000000002E-2</v>
      </c>
      <c r="O254" s="13">
        <v>41578</v>
      </c>
      <c r="P254" s="13">
        <v>41578</v>
      </c>
    </row>
    <row r="255" spans="1:16">
      <c r="A255" s="10">
        <v>2013</v>
      </c>
      <c r="B255" s="11" t="s">
        <v>466</v>
      </c>
      <c r="C255" s="11" t="s">
        <v>467</v>
      </c>
      <c r="D255" s="12">
        <v>1021011</v>
      </c>
      <c r="E255" s="12">
        <v>1</v>
      </c>
      <c r="F255" s="12"/>
      <c r="G255" s="12">
        <v>250</v>
      </c>
      <c r="H255" s="12" t="s">
        <v>87</v>
      </c>
      <c r="I255" s="12"/>
      <c r="J255" s="12" t="s">
        <v>88</v>
      </c>
      <c r="K255" s="12" t="b">
        <v>0</v>
      </c>
      <c r="L255" s="12">
        <v>0</v>
      </c>
      <c r="M255" s="8">
        <v>2013</v>
      </c>
      <c r="N255" s="9">
        <v>2607411.2200000002</v>
      </c>
      <c r="O255" s="13">
        <v>41578</v>
      </c>
      <c r="P255" s="13">
        <v>41578</v>
      </c>
    </row>
    <row r="256" spans="1:16">
      <c r="A256" s="10">
        <v>2013</v>
      </c>
      <c r="B256" s="11" t="s">
        <v>466</v>
      </c>
      <c r="C256" s="11" t="s">
        <v>467</v>
      </c>
      <c r="D256" s="12">
        <v>1021011</v>
      </c>
      <c r="E256" s="12">
        <v>1</v>
      </c>
      <c r="F256" s="12"/>
      <c r="G256" s="12">
        <v>690</v>
      </c>
      <c r="H256" s="12" t="s">
        <v>138</v>
      </c>
      <c r="I256" s="12"/>
      <c r="J256" s="12" t="s">
        <v>139</v>
      </c>
      <c r="K256" s="12" t="b">
        <v>1</v>
      </c>
      <c r="L256" s="12">
        <v>0</v>
      </c>
      <c r="M256" s="8">
        <v>2013</v>
      </c>
      <c r="N256" s="9">
        <v>1776085.14</v>
      </c>
      <c r="O256" s="13">
        <v>41578</v>
      </c>
      <c r="P256" s="13">
        <v>41578</v>
      </c>
    </row>
    <row r="257" spans="1:16">
      <c r="A257" s="10">
        <v>2013</v>
      </c>
      <c r="B257" s="11" t="s">
        <v>466</v>
      </c>
      <c r="C257" s="11" t="s">
        <v>467</v>
      </c>
      <c r="D257" s="12">
        <v>1021011</v>
      </c>
      <c r="E257" s="12">
        <v>1</v>
      </c>
      <c r="F257" s="12"/>
      <c r="G257" s="12">
        <v>690</v>
      </c>
      <c r="H257" s="12" t="s">
        <v>138</v>
      </c>
      <c r="I257" s="12"/>
      <c r="J257" s="12" t="s">
        <v>139</v>
      </c>
      <c r="K257" s="12" t="b">
        <v>1</v>
      </c>
      <c r="L257" s="12">
        <v>1</v>
      </c>
      <c r="M257" s="8">
        <v>2014</v>
      </c>
      <c r="N257" s="9">
        <v>222594.71</v>
      </c>
      <c r="O257" s="13">
        <v>41578</v>
      </c>
      <c r="P257" s="13">
        <v>41578</v>
      </c>
    </row>
    <row r="258" spans="1:16">
      <c r="A258" s="10">
        <v>2013</v>
      </c>
      <c r="B258" s="11" t="s">
        <v>466</v>
      </c>
      <c r="C258" s="11" t="s">
        <v>467</v>
      </c>
      <c r="D258" s="12">
        <v>1021011</v>
      </c>
      <c r="E258" s="12">
        <v>1</v>
      </c>
      <c r="F258" s="12"/>
      <c r="G258" s="12">
        <v>550</v>
      </c>
      <c r="H258" s="12">
        <v>10</v>
      </c>
      <c r="I258" s="12"/>
      <c r="J258" s="12" t="s">
        <v>121</v>
      </c>
      <c r="K258" s="12" t="b">
        <v>0</v>
      </c>
      <c r="L258" s="12">
        <v>7</v>
      </c>
      <c r="M258" s="8">
        <v>2020</v>
      </c>
      <c r="N258" s="9">
        <v>1610004</v>
      </c>
      <c r="O258" s="13">
        <v>41578</v>
      </c>
      <c r="P258" s="13">
        <v>41578</v>
      </c>
    </row>
    <row r="259" spans="1:16">
      <c r="A259" s="10">
        <v>2013</v>
      </c>
      <c r="B259" s="11" t="s">
        <v>466</v>
      </c>
      <c r="C259" s="11" t="s">
        <v>467</v>
      </c>
      <c r="D259" s="12">
        <v>1021011</v>
      </c>
      <c r="E259" s="12">
        <v>1</v>
      </c>
      <c r="F259" s="12"/>
      <c r="G259" s="12">
        <v>550</v>
      </c>
      <c r="H259" s="12">
        <v>10</v>
      </c>
      <c r="I259" s="12"/>
      <c r="J259" s="12" t="s">
        <v>121</v>
      </c>
      <c r="K259" s="12" t="b">
        <v>0</v>
      </c>
      <c r="L259" s="12">
        <v>6</v>
      </c>
      <c r="M259" s="8">
        <v>2019</v>
      </c>
      <c r="N259" s="9">
        <v>1610004</v>
      </c>
      <c r="O259" s="13">
        <v>41578</v>
      </c>
      <c r="P259" s="13">
        <v>41578</v>
      </c>
    </row>
    <row r="260" spans="1:16">
      <c r="A260" s="10">
        <v>2013</v>
      </c>
      <c r="B260" s="11" t="s">
        <v>466</v>
      </c>
      <c r="C260" s="11" t="s">
        <v>467</v>
      </c>
      <c r="D260" s="12">
        <v>1021011</v>
      </c>
      <c r="E260" s="12">
        <v>1</v>
      </c>
      <c r="F260" s="12"/>
      <c r="G260" s="12">
        <v>550</v>
      </c>
      <c r="H260" s="12">
        <v>10</v>
      </c>
      <c r="I260" s="12"/>
      <c r="J260" s="12" t="s">
        <v>121</v>
      </c>
      <c r="K260" s="12" t="b">
        <v>0</v>
      </c>
      <c r="L260" s="12">
        <v>3</v>
      </c>
      <c r="M260" s="8">
        <v>2016</v>
      </c>
      <c r="N260" s="9">
        <v>1565696</v>
      </c>
      <c r="O260" s="13">
        <v>41578</v>
      </c>
      <c r="P260" s="13">
        <v>41578</v>
      </c>
    </row>
    <row r="261" spans="1:16">
      <c r="A261" s="10">
        <v>2013</v>
      </c>
      <c r="B261" s="11" t="s">
        <v>466</v>
      </c>
      <c r="C261" s="11" t="s">
        <v>467</v>
      </c>
      <c r="D261" s="12">
        <v>1021011</v>
      </c>
      <c r="E261" s="12">
        <v>1</v>
      </c>
      <c r="F261" s="12"/>
      <c r="G261" s="12">
        <v>550</v>
      </c>
      <c r="H261" s="12">
        <v>10</v>
      </c>
      <c r="I261" s="12"/>
      <c r="J261" s="12" t="s">
        <v>121</v>
      </c>
      <c r="K261" s="12" t="b">
        <v>0</v>
      </c>
      <c r="L261" s="12">
        <v>10</v>
      </c>
      <c r="M261" s="8">
        <v>2023</v>
      </c>
      <c r="N261" s="9">
        <v>1710000</v>
      </c>
      <c r="O261" s="13">
        <v>41578</v>
      </c>
      <c r="P261" s="13">
        <v>41578</v>
      </c>
    </row>
    <row r="262" spans="1:16">
      <c r="A262" s="10">
        <v>2013</v>
      </c>
      <c r="B262" s="11" t="s">
        <v>466</v>
      </c>
      <c r="C262" s="11" t="s">
        <v>467</v>
      </c>
      <c r="D262" s="12">
        <v>1021011</v>
      </c>
      <c r="E262" s="12">
        <v>1</v>
      </c>
      <c r="F262" s="12"/>
      <c r="G262" s="12">
        <v>550</v>
      </c>
      <c r="H262" s="12">
        <v>10</v>
      </c>
      <c r="I262" s="12"/>
      <c r="J262" s="12" t="s">
        <v>121</v>
      </c>
      <c r="K262" s="12" t="b">
        <v>0</v>
      </c>
      <c r="L262" s="12">
        <v>8</v>
      </c>
      <c r="M262" s="8">
        <v>2021</v>
      </c>
      <c r="N262" s="9">
        <v>1610004</v>
      </c>
      <c r="O262" s="13">
        <v>41578</v>
      </c>
      <c r="P262" s="13">
        <v>41578</v>
      </c>
    </row>
    <row r="263" spans="1:16">
      <c r="A263" s="10">
        <v>2013</v>
      </c>
      <c r="B263" s="11" t="s">
        <v>466</v>
      </c>
      <c r="C263" s="11" t="s">
        <v>467</v>
      </c>
      <c r="D263" s="12">
        <v>1021011</v>
      </c>
      <c r="E263" s="12">
        <v>1</v>
      </c>
      <c r="F263" s="12"/>
      <c r="G263" s="12">
        <v>550</v>
      </c>
      <c r="H263" s="12">
        <v>10</v>
      </c>
      <c r="I263" s="12"/>
      <c r="J263" s="12" t="s">
        <v>121</v>
      </c>
      <c r="K263" s="12" t="b">
        <v>0</v>
      </c>
      <c r="L263" s="12">
        <v>1</v>
      </c>
      <c r="M263" s="8">
        <v>2014</v>
      </c>
      <c r="N263" s="9">
        <v>938060.16</v>
      </c>
      <c r="O263" s="13">
        <v>41578</v>
      </c>
      <c r="P263" s="13">
        <v>41578</v>
      </c>
    </row>
    <row r="264" spans="1:16">
      <c r="A264" s="10">
        <v>2013</v>
      </c>
      <c r="B264" s="11" t="s">
        <v>466</v>
      </c>
      <c r="C264" s="11" t="s">
        <v>467</v>
      </c>
      <c r="D264" s="12">
        <v>1021011</v>
      </c>
      <c r="E264" s="12">
        <v>1</v>
      </c>
      <c r="F264" s="12"/>
      <c r="G264" s="12">
        <v>550</v>
      </c>
      <c r="H264" s="12">
        <v>10</v>
      </c>
      <c r="I264" s="12"/>
      <c r="J264" s="12" t="s">
        <v>121</v>
      </c>
      <c r="K264" s="12" t="b">
        <v>0</v>
      </c>
      <c r="L264" s="12">
        <v>9</v>
      </c>
      <c r="M264" s="8">
        <v>2022</v>
      </c>
      <c r="N264" s="9">
        <v>1650004</v>
      </c>
      <c r="O264" s="13">
        <v>41578</v>
      </c>
      <c r="P264" s="13">
        <v>41578</v>
      </c>
    </row>
    <row r="265" spans="1:16">
      <c r="A265" s="10">
        <v>2013</v>
      </c>
      <c r="B265" s="11" t="s">
        <v>466</v>
      </c>
      <c r="C265" s="11" t="s">
        <v>467</v>
      </c>
      <c r="D265" s="12">
        <v>1021011</v>
      </c>
      <c r="E265" s="12">
        <v>1</v>
      </c>
      <c r="F265" s="12"/>
      <c r="G265" s="12">
        <v>550</v>
      </c>
      <c r="H265" s="12">
        <v>10</v>
      </c>
      <c r="I265" s="12"/>
      <c r="J265" s="12" t="s">
        <v>121</v>
      </c>
      <c r="K265" s="12" t="b">
        <v>0</v>
      </c>
      <c r="L265" s="12">
        <v>4</v>
      </c>
      <c r="M265" s="8">
        <v>2017</v>
      </c>
      <c r="N265" s="9">
        <v>1915700</v>
      </c>
      <c r="O265" s="13">
        <v>41578</v>
      </c>
      <c r="P265" s="13">
        <v>41578</v>
      </c>
    </row>
    <row r="266" spans="1:16">
      <c r="A266" s="10">
        <v>2013</v>
      </c>
      <c r="B266" s="11" t="s">
        <v>466</v>
      </c>
      <c r="C266" s="11" t="s">
        <v>467</v>
      </c>
      <c r="D266" s="12">
        <v>1021011</v>
      </c>
      <c r="E266" s="12">
        <v>1</v>
      </c>
      <c r="F266" s="12"/>
      <c r="G266" s="12">
        <v>550</v>
      </c>
      <c r="H266" s="12">
        <v>10</v>
      </c>
      <c r="I266" s="12"/>
      <c r="J266" s="12" t="s">
        <v>121</v>
      </c>
      <c r="K266" s="12" t="b">
        <v>0</v>
      </c>
      <c r="L266" s="12">
        <v>2</v>
      </c>
      <c r="M266" s="8">
        <v>2015</v>
      </c>
      <c r="N266" s="9">
        <v>1215692</v>
      </c>
      <c r="O266" s="13">
        <v>41578</v>
      </c>
      <c r="P266" s="13">
        <v>41578</v>
      </c>
    </row>
    <row r="267" spans="1:16">
      <c r="A267" s="10">
        <v>2013</v>
      </c>
      <c r="B267" s="11" t="s">
        <v>466</v>
      </c>
      <c r="C267" s="11" t="s">
        <v>467</v>
      </c>
      <c r="D267" s="12">
        <v>1021011</v>
      </c>
      <c r="E267" s="12">
        <v>1</v>
      </c>
      <c r="F267" s="12"/>
      <c r="G267" s="12">
        <v>480</v>
      </c>
      <c r="H267" s="12">
        <v>9.4</v>
      </c>
      <c r="I267" s="12" t="s">
        <v>472</v>
      </c>
      <c r="J267" s="12" t="s">
        <v>110</v>
      </c>
      <c r="K267" s="12" t="b">
        <v>0</v>
      </c>
      <c r="L267" s="12">
        <v>3</v>
      </c>
      <c r="M267" s="8">
        <v>2016</v>
      </c>
      <c r="N267" s="9">
        <v>6.9199999999999998E-2</v>
      </c>
      <c r="O267" s="13">
        <v>41578</v>
      </c>
      <c r="P267" s="13">
        <v>41578</v>
      </c>
    </row>
    <row r="268" spans="1:16">
      <c r="A268" s="10">
        <v>2013</v>
      </c>
      <c r="B268" s="11" t="s">
        <v>466</v>
      </c>
      <c r="C268" s="11" t="s">
        <v>467</v>
      </c>
      <c r="D268" s="12">
        <v>1021011</v>
      </c>
      <c r="E268" s="12">
        <v>1</v>
      </c>
      <c r="F268" s="12"/>
      <c r="G268" s="12">
        <v>480</v>
      </c>
      <c r="H268" s="12">
        <v>9.4</v>
      </c>
      <c r="I268" s="12" t="s">
        <v>472</v>
      </c>
      <c r="J268" s="12" t="s">
        <v>110</v>
      </c>
      <c r="K268" s="12" t="b">
        <v>0</v>
      </c>
      <c r="L268" s="12">
        <v>1</v>
      </c>
      <c r="M268" s="8">
        <v>2014</v>
      </c>
      <c r="N268" s="9">
        <v>5.2400000000000002E-2</v>
      </c>
      <c r="O268" s="13">
        <v>41578</v>
      </c>
      <c r="P268" s="13">
        <v>41578</v>
      </c>
    </row>
    <row r="269" spans="1:16">
      <c r="A269" s="10">
        <v>2013</v>
      </c>
      <c r="B269" s="11" t="s">
        <v>466</v>
      </c>
      <c r="C269" s="11" t="s">
        <v>467</v>
      </c>
      <c r="D269" s="12">
        <v>1021011</v>
      </c>
      <c r="E269" s="12">
        <v>1</v>
      </c>
      <c r="F269" s="12"/>
      <c r="G269" s="12">
        <v>480</v>
      </c>
      <c r="H269" s="12">
        <v>9.4</v>
      </c>
      <c r="I269" s="12" t="s">
        <v>472</v>
      </c>
      <c r="J269" s="12" t="s">
        <v>110</v>
      </c>
      <c r="K269" s="12" t="b">
        <v>0</v>
      </c>
      <c r="L269" s="12">
        <v>5</v>
      </c>
      <c r="M269" s="8">
        <v>2018</v>
      </c>
      <c r="N269" s="9">
        <v>6.6299999999999998E-2</v>
      </c>
      <c r="O269" s="13">
        <v>41578</v>
      </c>
      <c r="P269" s="13">
        <v>41578</v>
      </c>
    </row>
    <row r="270" spans="1:16">
      <c r="A270" s="10">
        <v>2013</v>
      </c>
      <c r="B270" s="11" t="s">
        <v>466</v>
      </c>
      <c r="C270" s="11" t="s">
        <v>467</v>
      </c>
      <c r="D270" s="12">
        <v>1021011</v>
      </c>
      <c r="E270" s="12">
        <v>1</v>
      </c>
      <c r="F270" s="12"/>
      <c r="G270" s="12">
        <v>480</v>
      </c>
      <c r="H270" s="12">
        <v>9.4</v>
      </c>
      <c r="I270" s="12" t="s">
        <v>472</v>
      </c>
      <c r="J270" s="12" t="s">
        <v>110</v>
      </c>
      <c r="K270" s="12" t="b">
        <v>0</v>
      </c>
      <c r="L270" s="12">
        <v>4</v>
      </c>
      <c r="M270" s="8">
        <v>2017</v>
      </c>
      <c r="N270" s="9">
        <v>7.6899999999999996E-2</v>
      </c>
      <c r="O270" s="13">
        <v>41578</v>
      </c>
      <c r="P270" s="13">
        <v>41578</v>
      </c>
    </row>
    <row r="271" spans="1:16">
      <c r="A271" s="10">
        <v>2013</v>
      </c>
      <c r="B271" s="11" t="s">
        <v>466</v>
      </c>
      <c r="C271" s="11" t="s">
        <v>467</v>
      </c>
      <c r="D271" s="12">
        <v>1021011</v>
      </c>
      <c r="E271" s="12">
        <v>1</v>
      </c>
      <c r="F271" s="12"/>
      <c r="G271" s="12">
        <v>480</v>
      </c>
      <c r="H271" s="12">
        <v>9.4</v>
      </c>
      <c r="I271" s="12" t="s">
        <v>472</v>
      </c>
      <c r="J271" s="12" t="s">
        <v>110</v>
      </c>
      <c r="K271" s="12" t="b">
        <v>0</v>
      </c>
      <c r="L271" s="12">
        <v>6</v>
      </c>
      <c r="M271" s="8">
        <v>2019</v>
      </c>
      <c r="N271" s="9">
        <v>6.13E-2</v>
      </c>
      <c r="O271" s="13">
        <v>41578</v>
      </c>
      <c r="P271" s="13">
        <v>41578</v>
      </c>
    </row>
    <row r="272" spans="1:16">
      <c r="A272" s="10">
        <v>2013</v>
      </c>
      <c r="B272" s="11" t="s">
        <v>466</v>
      </c>
      <c r="C272" s="11" t="s">
        <v>467</v>
      </c>
      <c r="D272" s="12">
        <v>1021011</v>
      </c>
      <c r="E272" s="12">
        <v>1</v>
      </c>
      <c r="F272" s="12"/>
      <c r="G272" s="12">
        <v>480</v>
      </c>
      <c r="H272" s="12">
        <v>9.4</v>
      </c>
      <c r="I272" s="12" t="s">
        <v>472</v>
      </c>
      <c r="J272" s="12" t="s">
        <v>110</v>
      </c>
      <c r="K272" s="12" t="b">
        <v>0</v>
      </c>
      <c r="L272" s="12">
        <v>9</v>
      </c>
      <c r="M272" s="8">
        <v>2022</v>
      </c>
      <c r="N272" s="9">
        <v>5.3199999999999997E-2</v>
      </c>
      <c r="O272" s="13">
        <v>41578</v>
      </c>
      <c r="P272" s="13">
        <v>41578</v>
      </c>
    </row>
    <row r="273" spans="1:16">
      <c r="A273" s="10">
        <v>2013</v>
      </c>
      <c r="B273" s="11" t="s">
        <v>466</v>
      </c>
      <c r="C273" s="11" t="s">
        <v>467</v>
      </c>
      <c r="D273" s="12">
        <v>1021011</v>
      </c>
      <c r="E273" s="12">
        <v>1</v>
      </c>
      <c r="F273" s="12"/>
      <c r="G273" s="12">
        <v>480</v>
      </c>
      <c r="H273" s="12">
        <v>9.4</v>
      </c>
      <c r="I273" s="12" t="s">
        <v>472</v>
      </c>
      <c r="J273" s="12" t="s">
        <v>110</v>
      </c>
      <c r="K273" s="12" t="b">
        <v>0</v>
      </c>
      <c r="L273" s="12">
        <v>0</v>
      </c>
      <c r="M273" s="8">
        <v>2013</v>
      </c>
      <c r="N273" s="9">
        <v>0.14560000000000001</v>
      </c>
      <c r="O273" s="13">
        <v>41578</v>
      </c>
      <c r="P273" s="13">
        <v>41578</v>
      </c>
    </row>
    <row r="274" spans="1:16">
      <c r="A274" s="10">
        <v>2013</v>
      </c>
      <c r="B274" s="11" t="s">
        <v>466</v>
      </c>
      <c r="C274" s="11" t="s">
        <v>467</v>
      </c>
      <c r="D274" s="12">
        <v>1021011</v>
      </c>
      <c r="E274" s="12">
        <v>1</v>
      </c>
      <c r="F274" s="12"/>
      <c r="G274" s="12">
        <v>480</v>
      </c>
      <c r="H274" s="12">
        <v>9.4</v>
      </c>
      <c r="I274" s="12" t="s">
        <v>472</v>
      </c>
      <c r="J274" s="12" t="s">
        <v>110</v>
      </c>
      <c r="K274" s="12" t="b">
        <v>0</v>
      </c>
      <c r="L274" s="12">
        <v>7</v>
      </c>
      <c r="M274" s="8">
        <v>2020</v>
      </c>
      <c r="N274" s="9">
        <v>5.8400000000000001E-2</v>
      </c>
      <c r="O274" s="13">
        <v>41578</v>
      </c>
      <c r="P274" s="13">
        <v>41578</v>
      </c>
    </row>
    <row r="275" spans="1:16">
      <c r="A275" s="10">
        <v>2013</v>
      </c>
      <c r="B275" s="11" t="s">
        <v>466</v>
      </c>
      <c r="C275" s="11" t="s">
        <v>467</v>
      </c>
      <c r="D275" s="12">
        <v>1021011</v>
      </c>
      <c r="E275" s="12">
        <v>1</v>
      </c>
      <c r="F275" s="12"/>
      <c r="G275" s="12">
        <v>190</v>
      </c>
      <c r="H275" s="12">
        <v>2.2000000000000002</v>
      </c>
      <c r="I275" s="12"/>
      <c r="J275" s="12" t="s">
        <v>82</v>
      </c>
      <c r="K275" s="12" t="b">
        <v>0</v>
      </c>
      <c r="L275" s="12">
        <v>1</v>
      </c>
      <c r="M275" s="8">
        <v>2014</v>
      </c>
      <c r="N275" s="9">
        <v>3683005.4</v>
      </c>
      <c r="O275" s="13">
        <v>41578</v>
      </c>
      <c r="P275" s="13">
        <v>41578</v>
      </c>
    </row>
    <row r="276" spans="1:16">
      <c r="A276" s="10">
        <v>2013</v>
      </c>
      <c r="B276" s="11" t="s">
        <v>466</v>
      </c>
      <c r="C276" s="11" t="s">
        <v>467</v>
      </c>
      <c r="D276" s="12">
        <v>1021011</v>
      </c>
      <c r="E276" s="12">
        <v>1</v>
      </c>
      <c r="F276" s="12"/>
      <c r="G276" s="12">
        <v>190</v>
      </c>
      <c r="H276" s="12">
        <v>2.2000000000000002</v>
      </c>
      <c r="I276" s="12"/>
      <c r="J276" s="12" t="s">
        <v>82</v>
      </c>
      <c r="K276" s="12" t="b">
        <v>0</v>
      </c>
      <c r="L276" s="12">
        <v>0</v>
      </c>
      <c r="M276" s="8">
        <v>2013</v>
      </c>
      <c r="N276" s="9">
        <v>8408716.1400000006</v>
      </c>
      <c r="O276" s="13">
        <v>41578</v>
      </c>
      <c r="P276" s="13">
        <v>41578</v>
      </c>
    </row>
    <row r="277" spans="1:16">
      <c r="A277" s="10">
        <v>2013</v>
      </c>
      <c r="B277" s="11" t="s">
        <v>466</v>
      </c>
      <c r="C277" s="11" t="s">
        <v>467</v>
      </c>
      <c r="D277" s="12">
        <v>1021011</v>
      </c>
      <c r="E277" s="12">
        <v>1</v>
      </c>
      <c r="F277" s="12"/>
      <c r="G277" s="12">
        <v>480</v>
      </c>
      <c r="H277" s="12">
        <v>9.4</v>
      </c>
      <c r="I277" s="12" t="s">
        <v>472</v>
      </c>
      <c r="J277" s="12" t="s">
        <v>110</v>
      </c>
      <c r="K277" s="12" t="b">
        <v>0</v>
      </c>
      <c r="L277" s="12">
        <v>10</v>
      </c>
      <c r="M277" s="8">
        <v>2023</v>
      </c>
      <c r="N277" s="9">
        <v>5.2499999999999998E-2</v>
      </c>
      <c r="O277" s="13">
        <v>41578</v>
      </c>
      <c r="P277" s="13">
        <v>41578</v>
      </c>
    </row>
    <row r="278" spans="1:16">
      <c r="A278" s="10">
        <v>2013</v>
      </c>
      <c r="B278" s="11" t="s">
        <v>466</v>
      </c>
      <c r="C278" s="11" t="s">
        <v>467</v>
      </c>
      <c r="D278" s="12">
        <v>1021011</v>
      </c>
      <c r="E278" s="12">
        <v>1</v>
      </c>
      <c r="F278" s="12"/>
      <c r="G278" s="12">
        <v>480</v>
      </c>
      <c r="H278" s="12">
        <v>9.4</v>
      </c>
      <c r="I278" s="12" t="s">
        <v>472</v>
      </c>
      <c r="J278" s="12" t="s">
        <v>110</v>
      </c>
      <c r="K278" s="12" t="b">
        <v>0</v>
      </c>
      <c r="L278" s="12">
        <v>8</v>
      </c>
      <c r="M278" s="8">
        <v>2021</v>
      </c>
      <c r="N278" s="9">
        <v>5.5800000000000002E-2</v>
      </c>
      <c r="O278" s="13">
        <v>41578</v>
      </c>
      <c r="P278" s="13">
        <v>41578</v>
      </c>
    </row>
    <row r="279" spans="1:16">
      <c r="A279" s="10">
        <v>2013</v>
      </c>
      <c r="B279" s="11" t="s">
        <v>466</v>
      </c>
      <c r="C279" s="11" t="s">
        <v>467</v>
      </c>
      <c r="D279" s="12">
        <v>1021011</v>
      </c>
      <c r="E279" s="12">
        <v>1</v>
      </c>
      <c r="F279" s="12"/>
      <c r="G279" s="12">
        <v>480</v>
      </c>
      <c r="H279" s="12">
        <v>9.4</v>
      </c>
      <c r="I279" s="12" t="s">
        <v>472</v>
      </c>
      <c r="J279" s="12" t="s">
        <v>110</v>
      </c>
      <c r="K279" s="12" t="b">
        <v>0</v>
      </c>
      <c r="L279" s="12">
        <v>2</v>
      </c>
      <c r="M279" s="8">
        <v>2015</v>
      </c>
      <c r="N279" s="9">
        <v>5.9799999999999999E-2</v>
      </c>
      <c r="O279" s="13">
        <v>41578</v>
      </c>
      <c r="P279" s="13">
        <v>41578</v>
      </c>
    </row>
    <row r="280" spans="1:16">
      <c r="A280" s="10">
        <v>2013</v>
      </c>
      <c r="B280" s="11" t="s">
        <v>466</v>
      </c>
      <c r="C280" s="11" t="s">
        <v>467</v>
      </c>
      <c r="D280" s="12">
        <v>1021011</v>
      </c>
      <c r="E280" s="12">
        <v>1</v>
      </c>
      <c r="F280" s="12"/>
      <c r="G280" s="12">
        <v>390</v>
      </c>
      <c r="H280" s="12">
        <v>6.3</v>
      </c>
      <c r="I280" s="12" t="s">
        <v>6</v>
      </c>
      <c r="J280" s="12" t="s">
        <v>104</v>
      </c>
      <c r="K280" s="12" t="b">
        <v>0</v>
      </c>
      <c r="L280" s="12">
        <v>7</v>
      </c>
      <c r="M280" s="8">
        <v>2020</v>
      </c>
      <c r="N280" s="9">
        <v>0.1484</v>
      </c>
      <c r="O280" s="13">
        <v>41578</v>
      </c>
      <c r="P280" s="13">
        <v>41578</v>
      </c>
    </row>
    <row r="281" spans="1:16">
      <c r="A281" s="10">
        <v>2013</v>
      </c>
      <c r="B281" s="11" t="s">
        <v>466</v>
      </c>
      <c r="C281" s="11" t="s">
        <v>467</v>
      </c>
      <c r="D281" s="12">
        <v>1021011</v>
      </c>
      <c r="E281" s="12">
        <v>1</v>
      </c>
      <c r="F281" s="12"/>
      <c r="G281" s="12">
        <v>390</v>
      </c>
      <c r="H281" s="12">
        <v>6.3</v>
      </c>
      <c r="I281" s="12" t="s">
        <v>6</v>
      </c>
      <c r="J281" s="12" t="s">
        <v>104</v>
      </c>
      <c r="K281" s="12" t="b">
        <v>0</v>
      </c>
      <c r="L281" s="12">
        <v>4</v>
      </c>
      <c r="M281" s="8">
        <v>2017</v>
      </c>
      <c r="N281" s="9">
        <v>0.30840000000000001</v>
      </c>
      <c r="O281" s="13">
        <v>41578</v>
      </c>
      <c r="P281" s="13">
        <v>41578</v>
      </c>
    </row>
    <row r="282" spans="1:16">
      <c r="A282" s="10">
        <v>2013</v>
      </c>
      <c r="B282" s="11" t="s">
        <v>466</v>
      </c>
      <c r="C282" s="11" t="s">
        <v>467</v>
      </c>
      <c r="D282" s="12">
        <v>1021011</v>
      </c>
      <c r="E282" s="12">
        <v>1</v>
      </c>
      <c r="F282" s="12"/>
      <c r="G282" s="12">
        <v>390</v>
      </c>
      <c r="H282" s="12">
        <v>6.3</v>
      </c>
      <c r="I282" s="12" t="s">
        <v>6</v>
      </c>
      <c r="J282" s="12" t="s">
        <v>104</v>
      </c>
      <c r="K282" s="12" t="b">
        <v>0</v>
      </c>
      <c r="L282" s="12">
        <v>0</v>
      </c>
      <c r="M282" s="8">
        <v>2013</v>
      </c>
      <c r="N282" s="9">
        <v>0.41739999999999999</v>
      </c>
      <c r="O282" s="13">
        <v>41578</v>
      </c>
      <c r="P282" s="13">
        <v>41578</v>
      </c>
    </row>
    <row r="283" spans="1:16">
      <c r="A283" s="10">
        <v>2013</v>
      </c>
      <c r="B283" s="11" t="s">
        <v>466</v>
      </c>
      <c r="C283" s="11" t="s">
        <v>467</v>
      </c>
      <c r="D283" s="12">
        <v>1021011</v>
      </c>
      <c r="E283" s="12">
        <v>1</v>
      </c>
      <c r="F283" s="12"/>
      <c r="G283" s="12">
        <v>390</v>
      </c>
      <c r="H283" s="12">
        <v>6.3</v>
      </c>
      <c r="I283" s="12" t="s">
        <v>6</v>
      </c>
      <c r="J283" s="12" t="s">
        <v>104</v>
      </c>
      <c r="K283" s="12" t="b">
        <v>0</v>
      </c>
      <c r="L283" s="12">
        <v>9</v>
      </c>
      <c r="M283" s="8">
        <v>2022</v>
      </c>
      <c r="N283" s="9">
        <v>4.9599999999999998E-2</v>
      </c>
      <c r="O283" s="13">
        <v>41578</v>
      </c>
      <c r="P283" s="13">
        <v>41578</v>
      </c>
    </row>
    <row r="284" spans="1:16">
      <c r="A284" s="10">
        <v>2013</v>
      </c>
      <c r="B284" s="11" t="s">
        <v>466</v>
      </c>
      <c r="C284" s="11" t="s">
        <v>467</v>
      </c>
      <c r="D284" s="12">
        <v>1021011</v>
      </c>
      <c r="E284" s="12">
        <v>1</v>
      </c>
      <c r="F284" s="12"/>
      <c r="G284" s="12">
        <v>390</v>
      </c>
      <c r="H284" s="12">
        <v>6.3</v>
      </c>
      <c r="I284" s="12" t="s">
        <v>6</v>
      </c>
      <c r="J284" s="12" t="s">
        <v>104</v>
      </c>
      <c r="K284" s="12" t="b">
        <v>0</v>
      </c>
      <c r="L284" s="12">
        <v>1</v>
      </c>
      <c r="M284" s="8">
        <v>2014</v>
      </c>
      <c r="N284" s="9">
        <v>0.46239999999999998</v>
      </c>
      <c r="O284" s="13">
        <v>41578</v>
      </c>
      <c r="P284" s="13">
        <v>41578</v>
      </c>
    </row>
    <row r="285" spans="1:16">
      <c r="A285" s="10">
        <v>2013</v>
      </c>
      <c r="B285" s="11" t="s">
        <v>466</v>
      </c>
      <c r="C285" s="11" t="s">
        <v>467</v>
      </c>
      <c r="D285" s="12">
        <v>1021011</v>
      </c>
      <c r="E285" s="12">
        <v>1</v>
      </c>
      <c r="F285" s="12"/>
      <c r="G285" s="12">
        <v>390</v>
      </c>
      <c r="H285" s="12">
        <v>6.3</v>
      </c>
      <c r="I285" s="12" t="s">
        <v>6</v>
      </c>
      <c r="J285" s="12" t="s">
        <v>104</v>
      </c>
      <c r="K285" s="12" t="b">
        <v>0</v>
      </c>
      <c r="L285" s="12">
        <v>3</v>
      </c>
      <c r="M285" s="8">
        <v>2016</v>
      </c>
      <c r="N285" s="9">
        <v>0.37409999999999999</v>
      </c>
      <c r="O285" s="13">
        <v>41578</v>
      </c>
      <c r="P285" s="13">
        <v>41578</v>
      </c>
    </row>
    <row r="286" spans="1:16">
      <c r="A286" s="10">
        <v>2013</v>
      </c>
      <c r="B286" s="11" t="s">
        <v>466</v>
      </c>
      <c r="C286" s="11" t="s">
        <v>467</v>
      </c>
      <c r="D286" s="12">
        <v>1021011</v>
      </c>
      <c r="E286" s="12">
        <v>1</v>
      </c>
      <c r="F286" s="12"/>
      <c r="G286" s="12">
        <v>390</v>
      </c>
      <c r="H286" s="12">
        <v>6.3</v>
      </c>
      <c r="I286" s="12" t="s">
        <v>6</v>
      </c>
      <c r="J286" s="12" t="s">
        <v>104</v>
      </c>
      <c r="K286" s="12" t="b">
        <v>0</v>
      </c>
      <c r="L286" s="12">
        <v>5</v>
      </c>
      <c r="M286" s="8">
        <v>2018</v>
      </c>
      <c r="N286" s="9">
        <v>0.252</v>
      </c>
      <c r="O286" s="13">
        <v>41578</v>
      </c>
      <c r="P286" s="13">
        <v>41578</v>
      </c>
    </row>
    <row r="287" spans="1:16">
      <c r="A287" s="10">
        <v>2013</v>
      </c>
      <c r="B287" s="11" t="s">
        <v>466</v>
      </c>
      <c r="C287" s="11" t="s">
        <v>467</v>
      </c>
      <c r="D287" s="12">
        <v>1021011</v>
      </c>
      <c r="E287" s="12">
        <v>1</v>
      </c>
      <c r="F287" s="12"/>
      <c r="G287" s="12">
        <v>390</v>
      </c>
      <c r="H287" s="12">
        <v>6.3</v>
      </c>
      <c r="I287" s="12" t="s">
        <v>6</v>
      </c>
      <c r="J287" s="12" t="s">
        <v>104</v>
      </c>
      <c r="K287" s="12" t="b">
        <v>0</v>
      </c>
      <c r="L287" s="12">
        <v>6</v>
      </c>
      <c r="M287" s="8">
        <v>2019</v>
      </c>
      <c r="N287" s="9">
        <v>0.19939999999999999</v>
      </c>
      <c r="O287" s="13">
        <v>41578</v>
      </c>
      <c r="P287" s="13">
        <v>41578</v>
      </c>
    </row>
    <row r="288" spans="1:16">
      <c r="A288" s="10">
        <v>2013</v>
      </c>
      <c r="B288" s="11" t="s">
        <v>466</v>
      </c>
      <c r="C288" s="11" t="s">
        <v>467</v>
      </c>
      <c r="D288" s="12">
        <v>1021011</v>
      </c>
      <c r="E288" s="12">
        <v>1</v>
      </c>
      <c r="F288" s="12"/>
      <c r="G288" s="12">
        <v>390</v>
      </c>
      <c r="H288" s="12">
        <v>6.3</v>
      </c>
      <c r="I288" s="12" t="s">
        <v>6</v>
      </c>
      <c r="J288" s="12" t="s">
        <v>104</v>
      </c>
      <c r="K288" s="12" t="b">
        <v>0</v>
      </c>
      <c r="L288" s="12">
        <v>8</v>
      </c>
      <c r="M288" s="8">
        <v>2021</v>
      </c>
      <c r="N288" s="9">
        <v>9.8799999999999999E-2</v>
      </c>
      <c r="O288" s="13">
        <v>41578</v>
      </c>
      <c r="P288" s="13">
        <v>41578</v>
      </c>
    </row>
    <row r="289" spans="1:16">
      <c r="A289" s="10">
        <v>2013</v>
      </c>
      <c r="B289" s="11" t="s">
        <v>466</v>
      </c>
      <c r="C289" s="11" t="s">
        <v>467</v>
      </c>
      <c r="D289" s="12">
        <v>1021011</v>
      </c>
      <c r="E289" s="12">
        <v>1</v>
      </c>
      <c r="F289" s="12"/>
      <c r="G289" s="12">
        <v>390</v>
      </c>
      <c r="H289" s="12">
        <v>6.3</v>
      </c>
      <c r="I289" s="12" t="s">
        <v>6</v>
      </c>
      <c r="J289" s="12" t="s">
        <v>104</v>
      </c>
      <c r="K289" s="12" t="b">
        <v>0</v>
      </c>
      <c r="L289" s="12">
        <v>2</v>
      </c>
      <c r="M289" s="8">
        <v>2015</v>
      </c>
      <c r="N289" s="9">
        <v>0.42380000000000001</v>
      </c>
      <c r="O289" s="13">
        <v>41578</v>
      </c>
      <c r="P289" s="13">
        <v>41578</v>
      </c>
    </row>
    <row r="290" spans="1:16">
      <c r="A290" s="10">
        <v>2013</v>
      </c>
      <c r="B290" s="11" t="s">
        <v>466</v>
      </c>
      <c r="C290" s="11" t="s">
        <v>467</v>
      </c>
      <c r="D290" s="12">
        <v>1021011</v>
      </c>
      <c r="E290" s="12">
        <v>1</v>
      </c>
      <c r="F290" s="12"/>
      <c r="G290" s="12">
        <v>520</v>
      </c>
      <c r="H290" s="12" t="s">
        <v>116</v>
      </c>
      <c r="I290" s="12"/>
      <c r="J290" s="12" t="s">
        <v>7</v>
      </c>
      <c r="K290" s="12" t="b">
        <v>1</v>
      </c>
      <c r="L290" s="12">
        <v>8</v>
      </c>
      <c r="M290" s="8">
        <v>2021</v>
      </c>
      <c r="N290" s="9">
        <v>0.13089999999999999</v>
      </c>
      <c r="O290" s="13">
        <v>41578</v>
      </c>
      <c r="P290" s="13">
        <v>41578</v>
      </c>
    </row>
    <row r="291" spans="1:16">
      <c r="A291" s="10">
        <v>2013</v>
      </c>
      <c r="B291" s="11" t="s">
        <v>466</v>
      </c>
      <c r="C291" s="11" t="s">
        <v>467</v>
      </c>
      <c r="D291" s="12">
        <v>1021011</v>
      </c>
      <c r="E291" s="12">
        <v>1</v>
      </c>
      <c r="F291" s="12"/>
      <c r="G291" s="12">
        <v>520</v>
      </c>
      <c r="H291" s="12" t="s">
        <v>116</v>
      </c>
      <c r="I291" s="12"/>
      <c r="J291" s="12" t="s">
        <v>7</v>
      </c>
      <c r="K291" s="12" t="b">
        <v>1</v>
      </c>
      <c r="L291" s="12">
        <v>1</v>
      </c>
      <c r="M291" s="8">
        <v>2014</v>
      </c>
      <c r="N291" s="9">
        <v>6.3E-2</v>
      </c>
      <c r="O291" s="13">
        <v>41578</v>
      </c>
      <c r="P291" s="13">
        <v>41578</v>
      </c>
    </row>
    <row r="292" spans="1:16">
      <c r="A292" s="10">
        <v>2013</v>
      </c>
      <c r="B292" s="11" t="s">
        <v>466</v>
      </c>
      <c r="C292" s="11" t="s">
        <v>467</v>
      </c>
      <c r="D292" s="12">
        <v>1021011</v>
      </c>
      <c r="E292" s="12">
        <v>1</v>
      </c>
      <c r="F292" s="12"/>
      <c r="G292" s="12">
        <v>520</v>
      </c>
      <c r="H292" s="12" t="s">
        <v>116</v>
      </c>
      <c r="I292" s="12"/>
      <c r="J292" s="12" t="s">
        <v>7</v>
      </c>
      <c r="K292" s="12" t="b">
        <v>1</v>
      </c>
      <c r="L292" s="12">
        <v>6</v>
      </c>
      <c r="M292" s="8">
        <v>2019</v>
      </c>
      <c r="N292" s="9">
        <v>0.1308</v>
      </c>
      <c r="O292" s="13">
        <v>41578</v>
      </c>
      <c r="P292" s="13">
        <v>41578</v>
      </c>
    </row>
    <row r="293" spans="1:16">
      <c r="A293" s="10">
        <v>2013</v>
      </c>
      <c r="B293" s="11" t="s">
        <v>466</v>
      </c>
      <c r="C293" s="11" t="s">
        <v>467</v>
      </c>
      <c r="D293" s="12">
        <v>1021011</v>
      </c>
      <c r="E293" s="12">
        <v>1</v>
      </c>
      <c r="F293" s="12"/>
      <c r="G293" s="12">
        <v>520</v>
      </c>
      <c r="H293" s="12" t="s">
        <v>116</v>
      </c>
      <c r="I293" s="12"/>
      <c r="J293" s="12" t="s">
        <v>7</v>
      </c>
      <c r="K293" s="12" t="b">
        <v>1</v>
      </c>
      <c r="L293" s="12">
        <v>10</v>
      </c>
      <c r="M293" s="8">
        <v>2023</v>
      </c>
      <c r="N293" s="9">
        <v>0.1293</v>
      </c>
      <c r="O293" s="13">
        <v>41578</v>
      </c>
      <c r="P293" s="13">
        <v>41578</v>
      </c>
    </row>
    <row r="294" spans="1:16">
      <c r="A294" s="10">
        <v>2013</v>
      </c>
      <c r="B294" s="11" t="s">
        <v>466</v>
      </c>
      <c r="C294" s="11" t="s">
        <v>467</v>
      </c>
      <c r="D294" s="12">
        <v>1021011</v>
      </c>
      <c r="E294" s="12">
        <v>1</v>
      </c>
      <c r="F294" s="12"/>
      <c r="G294" s="12">
        <v>520</v>
      </c>
      <c r="H294" s="12" t="s">
        <v>116</v>
      </c>
      <c r="I294" s="12"/>
      <c r="J294" s="12" t="s">
        <v>7</v>
      </c>
      <c r="K294" s="12" t="b">
        <v>1</v>
      </c>
      <c r="L294" s="12">
        <v>7</v>
      </c>
      <c r="M294" s="8">
        <v>2020</v>
      </c>
      <c r="N294" s="9">
        <v>0.13139999999999999</v>
      </c>
      <c r="O294" s="13">
        <v>41578</v>
      </c>
      <c r="P294" s="13">
        <v>41578</v>
      </c>
    </row>
    <row r="295" spans="1:16">
      <c r="A295" s="10">
        <v>2013</v>
      </c>
      <c r="B295" s="11" t="s">
        <v>466</v>
      </c>
      <c r="C295" s="11" t="s">
        <v>467</v>
      </c>
      <c r="D295" s="12">
        <v>1021011</v>
      </c>
      <c r="E295" s="12">
        <v>1</v>
      </c>
      <c r="F295" s="12"/>
      <c r="G295" s="12">
        <v>520</v>
      </c>
      <c r="H295" s="12" t="s">
        <v>116</v>
      </c>
      <c r="I295" s="12"/>
      <c r="J295" s="12" t="s">
        <v>7</v>
      </c>
      <c r="K295" s="12" t="b">
        <v>1</v>
      </c>
      <c r="L295" s="12">
        <v>2</v>
      </c>
      <c r="M295" s="8">
        <v>2015</v>
      </c>
      <c r="N295" s="9">
        <v>8.72E-2</v>
      </c>
      <c r="O295" s="13">
        <v>41578</v>
      </c>
      <c r="P295" s="13">
        <v>41578</v>
      </c>
    </row>
    <row r="296" spans="1:16">
      <c r="A296" s="10">
        <v>2013</v>
      </c>
      <c r="B296" s="11" t="s">
        <v>466</v>
      </c>
      <c r="C296" s="11" t="s">
        <v>467</v>
      </c>
      <c r="D296" s="12">
        <v>1021011</v>
      </c>
      <c r="E296" s="12">
        <v>1</v>
      </c>
      <c r="F296" s="12"/>
      <c r="G296" s="12">
        <v>520</v>
      </c>
      <c r="H296" s="12" t="s">
        <v>116</v>
      </c>
      <c r="I296" s="12"/>
      <c r="J296" s="12" t="s">
        <v>7</v>
      </c>
      <c r="K296" s="12" t="b">
        <v>1</v>
      </c>
      <c r="L296" s="12">
        <v>4</v>
      </c>
      <c r="M296" s="8">
        <v>2017</v>
      </c>
      <c r="N296" s="9">
        <v>0.1381</v>
      </c>
      <c r="O296" s="13">
        <v>41578</v>
      </c>
      <c r="P296" s="13">
        <v>41578</v>
      </c>
    </row>
    <row r="297" spans="1:16">
      <c r="A297" s="10">
        <v>2013</v>
      </c>
      <c r="B297" s="11" t="s">
        <v>466</v>
      </c>
      <c r="C297" s="11" t="s">
        <v>467</v>
      </c>
      <c r="D297" s="12">
        <v>1021011</v>
      </c>
      <c r="E297" s="12">
        <v>1</v>
      </c>
      <c r="F297" s="12"/>
      <c r="G297" s="12">
        <v>520</v>
      </c>
      <c r="H297" s="12" t="s">
        <v>116</v>
      </c>
      <c r="I297" s="12"/>
      <c r="J297" s="12" t="s">
        <v>7</v>
      </c>
      <c r="K297" s="12" t="b">
        <v>1</v>
      </c>
      <c r="L297" s="12">
        <v>9</v>
      </c>
      <c r="M297" s="8">
        <v>2022</v>
      </c>
      <c r="N297" s="9">
        <v>0.13009999999999999</v>
      </c>
      <c r="O297" s="13">
        <v>41578</v>
      </c>
      <c r="P297" s="13">
        <v>41578</v>
      </c>
    </row>
    <row r="298" spans="1:16">
      <c r="A298" s="10">
        <v>2013</v>
      </c>
      <c r="B298" s="11" t="s">
        <v>466</v>
      </c>
      <c r="C298" s="11" t="s">
        <v>467</v>
      </c>
      <c r="D298" s="12">
        <v>1021011</v>
      </c>
      <c r="E298" s="12">
        <v>1</v>
      </c>
      <c r="F298" s="12"/>
      <c r="G298" s="12">
        <v>520</v>
      </c>
      <c r="H298" s="12" t="s">
        <v>116</v>
      </c>
      <c r="I298" s="12"/>
      <c r="J298" s="12" t="s">
        <v>7</v>
      </c>
      <c r="K298" s="12" t="b">
        <v>1</v>
      </c>
      <c r="L298" s="12">
        <v>0</v>
      </c>
      <c r="M298" s="8">
        <v>2013</v>
      </c>
      <c r="N298" s="9">
        <v>7.3200000000000001E-2</v>
      </c>
      <c r="O298" s="13">
        <v>41578</v>
      </c>
      <c r="P298" s="13">
        <v>41578</v>
      </c>
    </row>
    <row r="299" spans="1:16">
      <c r="A299" s="10">
        <v>2013</v>
      </c>
      <c r="B299" s="11" t="s">
        <v>466</v>
      </c>
      <c r="C299" s="11" t="s">
        <v>467</v>
      </c>
      <c r="D299" s="12">
        <v>1021011</v>
      </c>
      <c r="E299" s="12">
        <v>1</v>
      </c>
      <c r="F299" s="12"/>
      <c r="G299" s="12">
        <v>520</v>
      </c>
      <c r="H299" s="12" t="s">
        <v>116</v>
      </c>
      <c r="I299" s="12"/>
      <c r="J299" s="12" t="s">
        <v>7</v>
      </c>
      <c r="K299" s="12" t="b">
        <v>1</v>
      </c>
      <c r="L299" s="12">
        <v>3</v>
      </c>
      <c r="M299" s="8">
        <v>2016</v>
      </c>
      <c r="N299" s="9">
        <v>0.1062</v>
      </c>
      <c r="O299" s="13">
        <v>41578</v>
      </c>
      <c r="P299" s="13">
        <v>41578</v>
      </c>
    </row>
    <row r="300" spans="1:16">
      <c r="A300" s="10">
        <v>2013</v>
      </c>
      <c r="B300" s="11" t="s">
        <v>466</v>
      </c>
      <c r="C300" s="11" t="s">
        <v>467</v>
      </c>
      <c r="D300" s="12">
        <v>1021011</v>
      </c>
      <c r="E300" s="12">
        <v>1</v>
      </c>
      <c r="F300" s="12"/>
      <c r="G300" s="12">
        <v>520</v>
      </c>
      <c r="H300" s="12" t="s">
        <v>116</v>
      </c>
      <c r="I300" s="12"/>
      <c r="J300" s="12" t="s">
        <v>7</v>
      </c>
      <c r="K300" s="12" t="b">
        <v>1</v>
      </c>
      <c r="L300" s="12">
        <v>5</v>
      </c>
      <c r="M300" s="8">
        <v>2018</v>
      </c>
      <c r="N300" s="9">
        <v>0.1331</v>
      </c>
      <c r="O300" s="13">
        <v>41578</v>
      </c>
      <c r="P300" s="13">
        <v>41578</v>
      </c>
    </row>
    <row r="301" spans="1:16">
      <c r="A301" s="10">
        <v>2013</v>
      </c>
      <c r="B301" s="11" t="s">
        <v>466</v>
      </c>
      <c r="C301" s="11" t="s">
        <v>467</v>
      </c>
      <c r="D301" s="12">
        <v>1021011</v>
      </c>
      <c r="E301" s="12">
        <v>1</v>
      </c>
      <c r="F301" s="12"/>
      <c r="G301" s="12">
        <v>780</v>
      </c>
      <c r="H301" s="12" t="s">
        <v>153</v>
      </c>
      <c r="I301" s="12"/>
      <c r="J301" s="12" t="s">
        <v>154</v>
      </c>
      <c r="K301" s="12" t="b">
        <v>1</v>
      </c>
      <c r="L301" s="12">
        <v>0</v>
      </c>
      <c r="M301" s="8">
        <v>2013</v>
      </c>
      <c r="N301" s="9">
        <v>735014.91</v>
      </c>
      <c r="O301" s="13">
        <v>41578</v>
      </c>
      <c r="P301" s="13">
        <v>41578</v>
      </c>
    </row>
    <row r="302" spans="1:16">
      <c r="A302" s="10">
        <v>2013</v>
      </c>
      <c r="B302" s="11" t="s">
        <v>466</v>
      </c>
      <c r="C302" s="11" t="s">
        <v>467</v>
      </c>
      <c r="D302" s="12">
        <v>1021011</v>
      </c>
      <c r="E302" s="12">
        <v>1</v>
      </c>
      <c r="F302" s="12"/>
      <c r="G302" s="12">
        <v>190</v>
      </c>
      <c r="H302" s="12">
        <v>2.2000000000000002</v>
      </c>
      <c r="I302" s="12"/>
      <c r="J302" s="12" t="s">
        <v>82</v>
      </c>
      <c r="K302" s="12" t="b">
        <v>0</v>
      </c>
      <c r="L302" s="12">
        <v>7</v>
      </c>
      <c r="M302" s="8">
        <v>2020</v>
      </c>
      <c r="N302" s="9">
        <v>2749996</v>
      </c>
      <c r="O302" s="13">
        <v>41578</v>
      </c>
      <c r="P302" s="13">
        <v>41578</v>
      </c>
    </row>
    <row r="303" spans="1:16">
      <c r="A303" s="10">
        <v>2013</v>
      </c>
      <c r="B303" s="11" t="s">
        <v>466</v>
      </c>
      <c r="C303" s="11" t="s">
        <v>467</v>
      </c>
      <c r="D303" s="12">
        <v>1021011</v>
      </c>
      <c r="E303" s="12">
        <v>1</v>
      </c>
      <c r="F303" s="12"/>
      <c r="G303" s="12">
        <v>190</v>
      </c>
      <c r="H303" s="12">
        <v>2.2000000000000002</v>
      </c>
      <c r="I303" s="12"/>
      <c r="J303" s="12" t="s">
        <v>82</v>
      </c>
      <c r="K303" s="12" t="b">
        <v>0</v>
      </c>
      <c r="L303" s="12">
        <v>9</v>
      </c>
      <c r="M303" s="8">
        <v>2022</v>
      </c>
      <c r="N303" s="9">
        <v>2789996</v>
      </c>
      <c r="O303" s="13">
        <v>41578</v>
      </c>
      <c r="P303" s="13">
        <v>41578</v>
      </c>
    </row>
    <row r="304" spans="1:16">
      <c r="A304" s="10">
        <v>2013</v>
      </c>
      <c r="B304" s="11" t="s">
        <v>466</v>
      </c>
      <c r="C304" s="11" t="s">
        <v>467</v>
      </c>
      <c r="D304" s="12">
        <v>1021011</v>
      </c>
      <c r="E304" s="12">
        <v>1</v>
      </c>
      <c r="F304" s="12"/>
      <c r="G304" s="12">
        <v>190</v>
      </c>
      <c r="H304" s="12">
        <v>2.2000000000000002</v>
      </c>
      <c r="I304" s="12"/>
      <c r="J304" s="12" t="s">
        <v>82</v>
      </c>
      <c r="K304" s="12" t="b">
        <v>0</v>
      </c>
      <c r="L304" s="12">
        <v>4</v>
      </c>
      <c r="M304" s="8">
        <v>2017</v>
      </c>
      <c r="N304" s="9">
        <v>2294300</v>
      </c>
      <c r="O304" s="13">
        <v>41578</v>
      </c>
      <c r="P304" s="13">
        <v>41578</v>
      </c>
    </row>
    <row r="305" spans="1:16">
      <c r="A305" s="10">
        <v>2013</v>
      </c>
      <c r="B305" s="11" t="s">
        <v>466</v>
      </c>
      <c r="C305" s="11" t="s">
        <v>467</v>
      </c>
      <c r="D305" s="12">
        <v>1021011</v>
      </c>
      <c r="E305" s="12">
        <v>1</v>
      </c>
      <c r="F305" s="12"/>
      <c r="G305" s="12">
        <v>190</v>
      </c>
      <c r="H305" s="12">
        <v>2.2000000000000002</v>
      </c>
      <c r="I305" s="12"/>
      <c r="J305" s="12" t="s">
        <v>82</v>
      </c>
      <c r="K305" s="12" t="b">
        <v>0</v>
      </c>
      <c r="L305" s="12">
        <v>2</v>
      </c>
      <c r="M305" s="8">
        <v>2015</v>
      </c>
      <c r="N305" s="9">
        <v>3134308</v>
      </c>
      <c r="O305" s="13">
        <v>41578</v>
      </c>
      <c r="P305" s="13">
        <v>41578</v>
      </c>
    </row>
    <row r="306" spans="1:16">
      <c r="A306" s="10">
        <v>2013</v>
      </c>
      <c r="B306" s="11" t="s">
        <v>466</v>
      </c>
      <c r="C306" s="11" t="s">
        <v>467</v>
      </c>
      <c r="D306" s="12">
        <v>1021011</v>
      </c>
      <c r="E306" s="12">
        <v>1</v>
      </c>
      <c r="F306" s="12"/>
      <c r="G306" s="12">
        <v>190</v>
      </c>
      <c r="H306" s="12">
        <v>2.2000000000000002</v>
      </c>
      <c r="I306" s="12"/>
      <c r="J306" s="12" t="s">
        <v>82</v>
      </c>
      <c r="K306" s="12" t="b">
        <v>0</v>
      </c>
      <c r="L306" s="12">
        <v>10</v>
      </c>
      <c r="M306" s="8">
        <v>2023</v>
      </c>
      <c r="N306" s="9">
        <v>2730000</v>
      </c>
      <c r="O306" s="13">
        <v>41578</v>
      </c>
      <c r="P306" s="13">
        <v>41578</v>
      </c>
    </row>
    <row r="307" spans="1:16">
      <c r="A307" s="10">
        <v>2013</v>
      </c>
      <c r="B307" s="11" t="s">
        <v>466</v>
      </c>
      <c r="C307" s="11" t="s">
        <v>467</v>
      </c>
      <c r="D307" s="12">
        <v>1021011</v>
      </c>
      <c r="E307" s="12">
        <v>1</v>
      </c>
      <c r="F307" s="12"/>
      <c r="G307" s="12">
        <v>190</v>
      </c>
      <c r="H307" s="12">
        <v>2.2000000000000002</v>
      </c>
      <c r="I307" s="12"/>
      <c r="J307" s="12" t="s">
        <v>82</v>
      </c>
      <c r="K307" s="12" t="b">
        <v>0</v>
      </c>
      <c r="L307" s="12">
        <v>8</v>
      </c>
      <c r="M307" s="8">
        <v>2021</v>
      </c>
      <c r="N307" s="9">
        <v>2779996</v>
      </c>
      <c r="O307" s="13">
        <v>41578</v>
      </c>
      <c r="P307" s="13">
        <v>41578</v>
      </c>
    </row>
    <row r="308" spans="1:16">
      <c r="A308" s="10">
        <v>2013</v>
      </c>
      <c r="B308" s="11" t="s">
        <v>466</v>
      </c>
      <c r="C308" s="11" t="s">
        <v>467</v>
      </c>
      <c r="D308" s="12">
        <v>1021011</v>
      </c>
      <c r="E308" s="12">
        <v>1</v>
      </c>
      <c r="F308" s="12"/>
      <c r="G308" s="12">
        <v>190</v>
      </c>
      <c r="H308" s="12">
        <v>2.2000000000000002</v>
      </c>
      <c r="I308" s="12"/>
      <c r="J308" s="12" t="s">
        <v>82</v>
      </c>
      <c r="K308" s="12" t="b">
        <v>0</v>
      </c>
      <c r="L308" s="12">
        <v>6</v>
      </c>
      <c r="M308" s="8">
        <v>2019</v>
      </c>
      <c r="N308" s="9">
        <v>2719996</v>
      </c>
      <c r="O308" s="13">
        <v>41578</v>
      </c>
      <c r="P308" s="13">
        <v>41578</v>
      </c>
    </row>
    <row r="309" spans="1:16">
      <c r="A309" s="10">
        <v>2013</v>
      </c>
      <c r="B309" s="11" t="s">
        <v>466</v>
      </c>
      <c r="C309" s="11" t="s">
        <v>467</v>
      </c>
      <c r="D309" s="12">
        <v>1021011</v>
      </c>
      <c r="E309" s="12">
        <v>1</v>
      </c>
      <c r="F309" s="12"/>
      <c r="G309" s="12">
        <v>190</v>
      </c>
      <c r="H309" s="12">
        <v>2.2000000000000002</v>
      </c>
      <c r="I309" s="12"/>
      <c r="J309" s="12" t="s">
        <v>82</v>
      </c>
      <c r="K309" s="12" t="b">
        <v>0</v>
      </c>
      <c r="L309" s="12">
        <v>3</v>
      </c>
      <c r="M309" s="8">
        <v>2016</v>
      </c>
      <c r="N309" s="9">
        <v>2514304</v>
      </c>
      <c r="O309" s="13">
        <v>41578</v>
      </c>
      <c r="P309" s="13">
        <v>41578</v>
      </c>
    </row>
    <row r="310" spans="1:16">
      <c r="A310" s="10">
        <v>2013</v>
      </c>
      <c r="B310" s="11" t="s">
        <v>466</v>
      </c>
      <c r="C310" s="11" t="s">
        <v>467</v>
      </c>
      <c r="D310" s="12">
        <v>1021011</v>
      </c>
      <c r="E310" s="12">
        <v>1</v>
      </c>
      <c r="F310" s="12"/>
      <c r="G310" s="12">
        <v>190</v>
      </c>
      <c r="H310" s="12">
        <v>2.2000000000000002</v>
      </c>
      <c r="I310" s="12"/>
      <c r="J310" s="12" t="s">
        <v>82</v>
      </c>
      <c r="K310" s="12" t="b">
        <v>0</v>
      </c>
      <c r="L310" s="12">
        <v>5</v>
      </c>
      <c r="M310" s="8">
        <v>2018</v>
      </c>
      <c r="N310" s="9">
        <v>2591796</v>
      </c>
      <c r="O310" s="13">
        <v>41578</v>
      </c>
      <c r="P310" s="13">
        <v>41578</v>
      </c>
    </row>
    <row r="311" spans="1:16">
      <c r="A311" s="10">
        <v>2013</v>
      </c>
      <c r="B311" s="11" t="s">
        <v>466</v>
      </c>
      <c r="C311" s="11" t="s">
        <v>467</v>
      </c>
      <c r="D311" s="12">
        <v>1021011</v>
      </c>
      <c r="E311" s="12">
        <v>1</v>
      </c>
      <c r="F311" s="12"/>
      <c r="G311" s="12">
        <v>420</v>
      </c>
      <c r="H311" s="12">
        <v>8.1</v>
      </c>
      <c r="I311" s="12" t="s">
        <v>8</v>
      </c>
      <c r="J311" s="12" t="s">
        <v>106</v>
      </c>
      <c r="K311" s="12" t="b">
        <v>0</v>
      </c>
      <c r="L311" s="12">
        <v>7</v>
      </c>
      <c r="M311" s="8">
        <v>2020</v>
      </c>
      <c r="N311" s="9">
        <v>4360000</v>
      </c>
      <c r="O311" s="13">
        <v>41578</v>
      </c>
      <c r="P311" s="13">
        <v>41578</v>
      </c>
    </row>
    <row r="312" spans="1:16">
      <c r="A312" s="10">
        <v>2013</v>
      </c>
      <c r="B312" s="11" t="s">
        <v>466</v>
      </c>
      <c r="C312" s="11" t="s">
        <v>467</v>
      </c>
      <c r="D312" s="12">
        <v>1021011</v>
      </c>
      <c r="E312" s="12">
        <v>1</v>
      </c>
      <c r="F312" s="12"/>
      <c r="G312" s="12">
        <v>420</v>
      </c>
      <c r="H312" s="12">
        <v>8.1</v>
      </c>
      <c r="I312" s="12" t="s">
        <v>8</v>
      </c>
      <c r="J312" s="12" t="s">
        <v>106</v>
      </c>
      <c r="K312" s="12" t="b">
        <v>0</v>
      </c>
      <c r="L312" s="12">
        <v>10</v>
      </c>
      <c r="M312" s="8">
        <v>2023</v>
      </c>
      <c r="N312" s="9">
        <v>4440000</v>
      </c>
      <c r="O312" s="13">
        <v>41578</v>
      </c>
      <c r="P312" s="13">
        <v>41578</v>
      </c>
    </row>
    <row r="313" spans="1:16">
      <c r="A313" s="10">
        <v>2013</v>
      </c>
      <c r="B313" s="11" t="s">
        <v>466</v>
      </c>
      <c r="C313" s="11" t="s">
        <v>467</v>
      </c>
      <c r="D313" s="12">
        <v>1021011</v>
      </c>
      <c r="E313" s="12">
        <v>1</v>
      </c>
      <c r="F313" s="12"/>
      <c r="G313" s="12">
        <v>420</v>
      </c>
      <c r="H313" s="12">
        <v>8.1</v>
      </c>
      <c r="I313" s="12" t="s">
        <v>8</v>
      </c>
      <c r="J313" s="12" t="s">
        <v>106</v>
      </c>
      <c r="K313" s="12" t="b">
        <v>0</v>
      </c>
      <c r="L313" s="12">
        <v>5</v>
      </c>
      <c r="M313" s="8">
        <v>2018</v>
      </c>
      <c r="N313" s="9">
        <v>4270000</v>
      </c>
      <c r="O313" s="13">
        <v>41578</v>
      </c>
      <c r="P313" s="13">
        <v>41578</v>
      </c>
    </row>
    <row r="314" spans="1:16">
      <c r="A314" s="10">
        <v>2013</v>
      </c>
      <c r="B314" s="11" t="s">
        <v>466</v>
      </c>
      <c r="C314" s="11" t="s">
        <v>467</v>
      </c>
      <c r="D314" s="12">
        <v>1021011</v>
      </c>
      <c r="E314" s="12">
        <v>1</v>
      </c>
      <c r="F314" s="12"/>
      <c r="G314" s="12">
        <v>420</v>
      </c>
      <c r="H314" s="12">
        <v>8.1</v>
      </c>
      <c r="I314" s="12" t="s">
        <v>8</v>
      </c>
      <c r="J314" s="12" t="s">
        <v>106</v>
      </c>
      <c r="K314" s="12" t="b">
        <v>0</v>
      </c>
      <c r="L314" s="12">
        <v>8</v>
      </c>
      <c r="M314" s="8">
        <v>2021</v>
      </c>
      <c r="N314" s="9">
        <v>4390000</v>
      </c>
      <c r="O314" s="13">
        <v>41578</v>
      </c>
      <c r="P314" s="13">
        <v>41578</v>
      </c>
    </row>
    <row r="315" spans="1:16">
      <c r="A315" s="10">
        <v>2013</v>
      </c>
      <c r="B315" s="11" t="s">
        <v>466</v>
      </c>
      <c r="C315" s="11" t="s">
        <v>467</v>
      </c>
      <c r="D315" s="12">
        <v>1021011</v>
      </c>
      <c r="E315" s="12">
        <v>1</v>
      </c>
      <c r="F315" s="12"/>
      <c r="G315" s="12">
        <v>420</v>
      </c>
      <c r="H315" s="12">
        <v>8.1</v>
      </c>
      <c r="I315" s="12" t="s">
        <v>8</v>
      </c>
      <c r="J315" s="12" t="s">
        <v>106</v>
      </c>
      <c r="K315" s="12" t="b">
        <v>0</v>
      </c>
      <c r="L315" s="12">
        <v>2</v>
      </c>
      <c r="M315" s="8">
        <v>2015</v>
      </c>
      <c r="N315" s="9">
        <v>4350000</v>
      </c>
      <c r="O315" s="13">
        <v>41578</v>
      </c>
      <c r="P315" s="13">
        <v>41578</v>
      </c>
    </row>
    <row r="316" spans="1:16">
      <c r="A316" s="10">
        <v>2013</v>
      </c>
      <c r="B316" s="11" t="s">
        <v>466</v>
      </c>
      <c r="C316" s="11" t="s">
        <v>467</v>
      </c>
      <c r="D316" s="12">
        <v>1021011</v>
      </c>
      <c r="E316" s="12">
        <v>1</v>
      </c>
      <c r="F316" s="12"/>
      <c r="G316" s="12">
        <v>420</v>
      </c>
      <c r="H316" s="12">
        <v>8.1</v>
      </c>
      <c r="I316" s="12" t="s">
        <v>8</v>
      </c>
      <c r="J316" s="12" t="s">
        <v>106</v>
      </c>
      <c r="K316" s="12" t="b">
        <v>0</v>
      </c>
      <c r="L316" s="12">
        <v>4</v>
      </c>
      <c r="M316" s="8">
        <v>2017</v>
      </c>
      <c r="N316" s="9">
        <v>4210000</v>
      </c>
      <c r="O316" s="13">
        <v>41578</v>
      </c>
      <c r="P316" s="13">
        <v>41578</v>
      </c>
    </row>
    <row r="317" spans="1:16">
      <c r="A317" s="10">
        <v>2013</v>
      </c>
      <c r="B317" s="11" t="s">
        <v>466</v>
      </c>
      <c r="C317" s="11" t="s">
        <v>467</v>
      </c>
      <c r="D317" s="12">
        <v>1021011</v>
      </c>
      <c r="E317" s="12">
        <v>1</v>
      </c>
      <c r="F317" s="12"/>
      <c r="G317" s="12">
        <v>420</v>
      </c>
      <c r="H317" s="12">
        <v>8.1</v>
      </c>
      <c r="I317" s="12" t="s">
        <v>8</v>
      </c>
      <c r="J317" s="12" t="s">
        <v>106</v>
      </c>
      <c r="K317" s="12" t="b">
        <v>0</v>
      </c>
      <c r="L317" s="12">
        <v>0</v>
      </c>
      <c r="M317" s="8">
        <v>2013</v>
      </c>
      <c r="N317" s="9">
        <v>1126961.56</v>
      </c>
      <c r="O317" s="13">
        <v>41578</v>
      </c>
      <c r="P317" s="13">
        <v>41578</v>
      </c>
    </row>
    <row r="318" spans="1:16">
      <c r="A318" s="10">
        <v>2013</v>
      </c>
      <c r="B318" s="11" t="s">
        <v>466</v>
      </c>
      <c r="C318" s="11" t="s">
        <v>467</v>
      </c>
      <c r="D318" s="12">
        <v>1021011</v>
      </c>
      <c r="E318" s="12">
        <v>1</v>
      </c>
      <c r="F318" s="12"/>
      <c r="G318" s="12">
        <v>420</v>
      </c>
      <c r="H318" s="12">
        <v>8.1</v>
      </c>
      <c r="I318" s="12" t="s">
        <v>8</v>
      </c>
      <c r="J318" s="12" t="s">
        <v>106</v>
      </c>
      <c r="K318" s="12" t="b">
        <v>0</v>
      </c>
      <c r="L318" s="12">
        <v>6</v>
      </c>
      <c r="M318" s="8">
        <v>2019</v>
      </c>
      <c r="N318" s="9">
        <v>4330000</v>
      </c>
      <c r="O318" s="13">
        <v>41578</v>
      </c>
      <c r="P318" s="13">
        <v>41578</v>
      </c>
    </row>
    <row r="319" spans="1:16">
      <c r="A319" s="10">
        <v>2013</v>
      </c>
      <c r="B319" s="11" t="s">
        <v>466</v>
      </c>
      <c r="C319" s="11" t="s">
        <v>467</v>
      </c>
      <c r="D319" s="12">
        <v>1021011</v>
      </c>
      <c r="E319" s="12">
        <v>1</v>
      </c>
      <c r="F319" s="12"/>
      <c r="G319" s="12">
        <v>420</v>
      </c>
      <c r="H319" s="12">
        <v>8.1</v>
      </c>
      <c r="I319" s="12" t="s">
        <v>8</v>
      </c>
      <c r="J319" s="12" t="s">
        <v>106</v>
      </c>
      <c r="K319" s="12" t="b">
        <v>0</v>
      </c>
      <c r="L319" s="12">
        <v>9</v>
      </c>
      <c r="M319" s="8">
        <v>2022</v>
      </c>
      <c r="N319" s="9">
        <v>4440000</v>
      </c>
      <c r="O319" s="13">
        <v>41578</v>
      </c>
      <c r="P319" s="13">
        <v>41578</v>
      </c>
    </row>
    <row r="320" spans="1:16">
      <c r="A320" s="10">
        <v>2013</v>
      </c>
      <c r="B320" s="11" t="s">
        <v>466</v>
      </c>
      <c r="C320" s="11" t="s">
        <v>467</v>
      </c>
      <c r="D320" s="12">
        <v>1021011</v>
      </c>
      <c r="E320" s="12">
        <v>1</v>
      </c>
      <c r="F320" s="12"/>
      <c r="G320" s="12">
        <v>420</v>
      </c>
      <c r="H320" s="12">
        <v>8.1</v>
      </c>
      <c r="I320" s="12" t="s">
        <v>8</v>
      </c>
      <c r="J320" s="12" t="s">
        <v>106</v>
      </c>
      <c r="K320" s="12" t="b">
        <v>0</v>
      </c>
      <c r="L320" s="12">
        <v>1</v>
      </c>
      <c r="M320" s="8">
        <v>2014</v>
      </c>
      <c r="N320" s="9">
        <v>4621065.5599999996</v>
      </c>
      <c r="O320" s="13">
        <v>41578</v>
      </c>
      <c r="P320" s="13">
        <v>41578</v>
      </c>
    </row>
    <row r="321" spans="1:16">
      <c r="A321" s="10">
        <v>2013</v>
      </c>
      <c r="B321" s="11" t="s">
        <v>466</v>
      </c>
      <c r="C321" s="11" t="s">
        <v>467</v>
      </c>
      <c r="D321" s="12">
        <v>1021011</v>
      </c>
      <c r="E321" s="12">
        <v>1</v>
      </c>
      <c r="F321" s="12"/>
      <c r="G321" s="12">
        <v>420</v>
      </c>
      <c r="H321" s="12">
        <v>8.1</v>
      </c>
      <c r="I321" s="12" t="s">
        <v>8</v>
      </c>
      <c r="J321" s="12" t="s">
        <v>106</v>
      </c>
      <c r="K321" s="12" t="b">
        <v>0</v>
      </c>
      <c r="L321" s="12">
        <v>3</v>
      </c>
      <c r="M321" s="8">
        <v>2016</v>
      </c>
      <c r="N321" s="9">
        <v>4080000</v>
      </c>
      <c r="O321" s="13">
        <v>41578</v>
      </c>
      <c r="P321" s="13">
        <v>41578</v>
      </c>
    </row>
    <row r="322" spans="1:16">
      <c r="A322" s="10">
        <v>2013</v>
      </c>
      <c r="B322" s="11" t="s">
        <v>466</v>
      </c>
      <c r="C322" s="11" t="s">
        <v>467</v>
      </c>
      <c r="D322" s="12">
        <v>1021011</v>
      </c>
      <c r="E322" s="12">
        <v>1</v>
      </c>
      <c r="F322" s="12"/>
      <c r="G322" s="12">
        <v>720</v>
      </c>
      <c r="H322" s="12" t="s">
        <v>143</v>
      </c>
      <c r="I322" s="12"/>
      <c r="J322" s="12" t="s">
        <v>144</v>
      </c>
      <c r="K322" s="12" t="b">
        <v>0</v>
      </c>
      <c r="L322" s="12">
        <v>0</v>
      </c>
      <c r="M322" s="8">
        <v>2013</v>
      </c>
      <c r="N322" s="9">
        <v>3052450.3</v>
      </c>
      <c r="O322" s="13">
        <v>41578</v>
      </c>
      <c r="P322" s="13">
        <v>41578</v>
      </c>
    </row>
    <row r="323" spans="1:16">
      <c r="A323" s="10">
        <v>2013</v>
      </c>
      <c r="B323" s="11" t="s">
        <v>466</v>
      </c>
      <c r="C323" s="11" t="s">
        <v>467</v>
      </c>
      <c r="D323" s="12">
        <v>1021011</v>
      </c>
      <c r="E323" s="12">
        <v>1</v>
      </c>
      <c r="F323" s="12"/>
      <c r="G323" s="12">
        <v>140</v>
      </c>
      <c r="H323" s="12" t="s">
        <v>72</v>
      </c>
      <c r="I323" s="12"/>
      <c r="J323" s="12" t="s">
        <v>73</v>
      </c>
      <c r="K323" s="12" t="b">
        <v>1</v>
      </c>
      <c r="L323" s="12">
        <v>8</v>
      </c>
      <c r="M323" s="8">
        <v>2021</v>
      </c>
      <c r="N323" s="9">
        <v>101000</v>
      </c>
      <c r="O323" s="13">
        <v>41578</v>
      </c>
      <c r="P323" s="13">
        <v>41578</v>
      </c>
    </row>
    <row r="324" spans="1:16">
      <c r="A324" s="10">
        <v>2013</v>
      </c>
      <c r="B324" s="11" t="s">
        <v>466</v>
      </c>
      <c r="C324" s="11" t="s">
        <v>467</v>
      </c>
      <c r="D324" s="12">
        <v>1021011</v>
      </c>
      <c r="E324" s="12">
        <v>1</v>
      </c>
      <c r="F324" s="12"/>
      <c r="G324" s="12">
        <v>140</v>
      </c>
      <c r="H324" s="12" t="s">
        <v>72</v>
      </c>
      <c r="I324" s="12"/>
      <c r="J324" s="12" t="s">
        <v>73</v>
      </c>
      <c r="K324" s="12" t="b">
        <v>1</v>
      </c>
      <c r="L324" s="12">
        <v>6</v>
      </c>
      <c r="M324" s="8">
        <v>2019</v>
      </c>
      <c r="N324" s="9">
        <v>110000</v>
      </c>
      <c r="O324" s="13">
        <v>41578</v>
      </c>
      <c r="P324" s="13">
        <v>41578</v>
      </c>
    </row>
    <row r="325" spans="1:16">
      <c r="A325" s="10">
        <v>2013</v>
      </c>
      <c r="B325" s="11" t="s">
        <v>466</v>
      </c>
      <c r="C325" s="11" t="s">
        <v>467</v>
      </c>
      <c r="D325" s="12">
        <v>1021011</v>
      </c>
      <c r="E325" s="12">
        <v>1</v>
      </c>
      <c r="F325" s="12"/>
      <c r="G325" s="12">
        <v>140</v>
      </c>
      <c r="H325" s="12" t="s">
        <v>72</v>
      </c>
      <c r="I325" s="12"/>
      <c r="J325" s="12" t="s">
        <v>73</v>
      </c>
      <c r="K325" s="12" t="b">
        <v>1</v>
      </c>
      <c r="L325" s="12">
        <v>7</v>
      </c>
      <c r="M325" s="8">
        <v>2020</v>
      </c>
      <c r="N325" s="9">
        <v>110000</v>
      </c>
      <c r="O325" s="13">
        <v>41578</v>
      </c>
      <c r="P325" s="13">
        <v>41578</v>
      </c>
    </row>
    <row r="326" spans="1:16">
      <c r="A326" s="10">
        <v>2013</v>
      </c>
      <c r="B326" s="11" t="s">
        <v>466</v>
      </c>
      <c r="C326" s="11" t="s">
        <v>467</v>
      </c>
      <c r="D326" s="12">
        <v>1021011</v>
      </c>
      <c r="E326" s="12">
        <v>1</v>
      </c>
      <c r="F326" s="12"/>
      <c r="G326" s="12">
        <v>140</v>
      </c>
      <c r="H326" s="12" t="s">
        <v>72</v>
      </c>
      <c r="I326" s="12"/>
      <c r="J326" s="12" t="s">
        <v>73</v>
      </c>
      <c r="K326" s="12" t="b">
        <v>1</v>
      </c>
      <c r="L326" s="12">
        <v>3</v>
      </c>
      <c r="M326" s="8">
        <v>2016</v>
      </c>
      <c r="N326" s="9">
        <v>110000</v>
      </c>
      <c r="O326" s="13">
        <v>41578</v>
      </c>
      <c r="P326" s="13">
        <v>41578</v>
      </c>
    </row>
    <row r="327" spans="1:16">
      <c r="A327" s="10">
        <v>2013</v>
      </c>
      <c r="B327" s="11" t="s">
        <v>466</v>
      </c>
      <c r="C327" s="11" t="s">
        <v>467</v>
      </c>
      <c r="D327" s="12">
        <v>1021011</v>
      </c>
      <c r="E327" s="12">
        <v>1</v>
      </c>
      <c r="F327" s="12"/>
      <c r="G327" s="12">
        <v>140</v>
      </c>
      <c r="H327" s="12" t="s">
        <v>72</v>
      </c>
      <c r="I327" s="12"/>
      <c r="J327" s="12" t="s">
        <v>73</v>
      </c>
      <c r="K327" s="12" t="b">
        <v>1</v>
      </c>
      <c r="L327" s="12">
        <v>5</v>
      </c>
      <c r="M327" s="8">
        <v>2018</v>
      </c>
      <c r="N327" s="9">
        <v>110000</v>
      </c>
      <c r="O327" s="13">
        <v>41578</v>
      </c>
      <c r="P327" s="13">
        <v>41578</v>
      </c>
    </row>
    <row r="328" spans="1:16">
      <c r="A328" s="10">
        <v>2013</v>
      </c>
      <c r="B328" s="11" t="s">
        <v>466</v>
      </c>
      <c r="C328" s="11" t="s">
        <v>467</v>
      </c>
      <c r="D328" s="12">
        <v>1021011</v>
      </c>
      <c r="E328" s="12">
        <v>1</v>
      </c>
      <c r="F328" s="12"/>
      <c r="G328" s="12">
        <v>140</v>
      </c>
      <c r="H328" s="12" t="s">
        <v>72</v>
      </c>
      <c r="I328" s="12"/>
      <c r="J328" s="12" t="s">
        <v>73</v>
      </c>
      <c r="K328" s="12" t="b">
        <v>1</v>
      </c>
      <c r="L328" s="12">
        <v>10</v>
      </c>
      <c r="M328" s="8">
        <v>2023</v>
      </c>
      <c r="N328" s="9">
        <v>59000</v>
      </c>
      <c r="O328" s="13">
        <v>41578</v>
      </c>
      <c r="P328" s="13">
        <v>41578</v>
      </c>
    </row>
    <row r="329" spans="1:16">
      <c r="A329" s="10">
        <v>2013</v>
      </c>
      <c r="B329" s="11" t="s">
        <v>466</v>
      </c>
      <c r="C329" s="11" t="s">
        <v>467</v>
      </c>
      <c r="D329" s="12">
        <v>1021011</v>
      </c>
      <c r="E329" s="12">
        <v>1</v>
      </c>
      <c r="F329" s="12"/>
      <c r="G329" s="12">
        <v>140</v>
      </c>
      <c r="H329" s="12" t="s">
        <v>72</v>
      </c>
      <c r="I329" s="12"/>
      <c r="J329" s="12" t="s">
        <v>73</v>
      </c>
      <c r="K329" s="12" t="b">
        <v>1</v>
      </c>
      <c r="L329" s="12">
        <v>4</v>
      </c>
      <c r="M329" s="8">
        <v>2017</v>
      </c>
      <c r="N329" s="9">
        <v>110000</v>
      </c>
      <c r="O329" s="13">
        <v>41578</v>
      </c>
      <c r="P329" s="13">
        <v>41578</v>
      </c>
    </row>
    <row r="330" spans="1:16">
      <c r="A330" s="10">
        <v>2013</v>
      </c>
      <c r="B330" s="11" t="s">
        <v>466</v>
      </c>
      <c r="C330" s="11" t="s">
        <v>467</v>
      </c>
      <c r="D330" s="12">
        <v>1021011</v>
      </c>
      <c r="E330" s="12">
        <v>1</v>
      </c>
      <c r="F330" s="12"/>
      <c r="G330" s="12">
        <v>140</v>
      </c>
      <c r="H330" s="12" t="s">
        <v>72</v>
      </c>
      <c r="I330" s="12"/>
      <c r="J330" s="12" t="s">
        <v>73</v>
      </c>
      <c r="K330" s="12" t="b">
        <v>1</v>
      </c>
      <c r="L330" s="12">
        <v>2</v>
      </c>
      <c r="M330" s="8">
        <v>2015</v>
      </c>
      <c r="N330" s="9">
        <v>110000</v>
      </c>
      <c r="O330" s="13">
        <v>41578</v>
      </c>
      <c r="P330" s="13">
        <v>41578</v>
      </c>
    </row>
    <row r="331" spans="1:16">
      <c r="A331" s="10">
        <v>2013</v>
      </c>
      <c r="B331" s="11" t="s">
        <v>466</v>
      </c>
      <c r="C331" s="11" t="s">
        <v>467</v>
      </c>
      <c r="D331" s="12">
        <v>1021011</v>
      </c>
      <c r="E331" s="12">
        <v>1</v>
      </c>
      <c r="F331" s="12"/>
      <c r="G331" s="12">
        <v>140</v>
      </c>
      <c r="H331" s="12" t="s">
        <v>72</v>
      </c>
      <c r="I331" s="12"/>
      <c r="J331" s="12" t="s">
        <v>73</v>
      </c>
      <c r="K331" s="12" t="b">
        <v>1</v>
      </c>
      <c r="L331" s="12">
        <v>9</v>
      </c>
      <c r="M331" s="8">
        <v>2022</v>
      </c>
      <c r="N331" s="9">
        <v>59000</v>
      </c>
      <c r="O331" s="13">
        <v>41578</v>
      </c>
      <c r="P331" s="13">
        <v>41578</v>
      </c>
    </row>
    <row r="332" spans="1:16">
      <c r="A332" s="10">
        <v>2013</v>
      </c>
      <c r="B332" s="11" t="s">
        <v>466</v>
      </c>
      <c r="C332" s="11" t="s">
        <v>467</v>
      </c>
      <c r="D332" s="12">
        <v>1021011</v>
      </c>
      <c r="E332" s="12">
        <v>1</v>
      </c>
      <c r="F332" s="12"/>
      <c r="G332" s="12">
        <v>140</v>
      </c>
      <c r="H332" s="12" t="s">
        <v>72</v>
      </c>
      <c r="I332" s="12"/>
      <c r="J332" s="12" t="s">
        <v>73</v>
      </c>
      <c r="K332" s="12" t="b">
        <v>1</v>
      </c>
      <c r="L332" s="12">
        <v>1</v>
      </c>
      <c r="M332" s="8">
        <v>2014</v>
      </c>
      <c r="N332" s="9">
        <v>110000</v>
      </c>
      <c r="O332" s="13">
        <v>41578</v>
      </c>
      <c r="P332" s="13">
        <v>41578</v>
      </c>
    </row>
    <row r="333" spans="1:16">
      <c r="A333" s="10">
        <v>2013</v>
      </c>
      <c r="B333" s="11" t="s">
        <v>466</v>
      </c>
      <c r="C333" s="11" t="s">
        <v>467</v>
      </c>
      <c r="D333" s="12">
        <v>1021011</v>
      </c>
      <c r="E333" s="12">
        <v>1</v>
      </c>
      <c r="F333" s="12"/>
      <c r="G333" s="12">
        <v>70</v>
      </c>
      <c r="H333" s="12" t="s">
        <v>62</v>
      </c>
      <c r="I333" s="12"/>
      <c r="J333" s="12" t="s">
        <v>63</v>
      </c>
      <c r="K333" s="12" t="b">
        <v>1</v>
      </c>
      <c r="L333" s="12">
        <v>1</v>
      </c>
      <c r="M333" s="8">
        <v>2014</v>
      </c>
      <c r="N333" s="9">
        <v>8000000</v>
      </c>
      <c r="O333" s="13">
        <v>41578</v>
      </c>
      <c r="P333" s="13">
        <v>41578</v>
      </c>
    </row>
    <row r="334" spans="1:16">
      <c r="A334" s="10">
        <v>2013</v>
      </c>
      <c r="B334" s="11" t="s">
        <v>466</v>
      </c>
      <c r="C334" s="11" t="s">
        <v>467</v>
      </c>
      <c r="D334" s="12">
        <v>1021011</v>
      </c>
      <c r="E334" s="12">
        <v>1</v>
      </c>
      <c r="F334" s="12"/>
      <c r="G334" s="12">
        <v>70</v>
      </c>
      <c r="H334" s="12" t="s">
        <v>62</v>
      </c>
      <c r="I334" s="12"/>
      <c r="J334" s="12" t="s">
        <v>63</v>
      </c>
      <c r="K334" s="12" t="b">
        <v>1</v>
      </c>
      <c r="L334" s="12">
        <v>10</v>
      </c>
      <c r="M334" s="8">
        <v>2023</v>
      </c>
      <c r="N334" s="9">
        <v>9100000</v>
      </c>
      <c r="O334" s="13">
        <v>41578</v>
      </c>
      <c r="P334" s="13">
        <v>41578</v>
      </c>
    </row>
    <row r="335" spans="1:16">
      <c r="A335" s="10">
        <v>2013</v>
      </c>
      <c r="B335" s="11" t="s">
        <v>466</v>
      </c>
      <c r="C335" s="11" t="s">
        <v>467</v>
      </c>
      <c r="D335" s="12">
        <v>1021011</v>
      </c>
      <c r="E335" s="12">
        <v>1</v>
      </c>
      <c r="F335" s="12"/>
      <c r="G335" s="12">
        <v>70</v>
      </c>
      <c r="H335" s="12" t="s">
        <v>62</v>
      </c>
      <c r="I335" s="12"/>
      <c r="J335" s="12" t="s">
        <v>63</v>
      </c>
      <c r="K335" s="12" t="b">
        <v>1</v>
      </c>
      <c r="L335" s="12">
        <v>2</v>
      </c>
      <c r="M335" s="8">
        <v>2015</v>
      </c>
      <c r="N335" s="9">
        <v>7750000</v>
      </c>
      <c r="O335" s="13">
        <v>41578</v>
      </c>
      <c r="P335" s="13">
        <v>41578</v>
      </c>
    </row>
    <row r="336" spans="1:16">
      <c r="A336" s="10">
        <v>2013</v>
      </c>
      <c r="B336" s="11" t="s">
        <v>466</v>
      </c>
      <c r="C336" s="11" t="s">
        <v>467</v>
      </c>
      <c r="D336" s="12">
        <v>1021011</v>
      </c>
      <c r="E336" s="12">
        <v>1</v>
      </c>
      <c r="F336" s="12"/>
      <c r="G336" s="12">
        <v>70</v>
      </c>
      <c r="H336" s="12" t="s">
        <v>62</v>
      </c>
      <c r="I336" s="12"/>
      <c r="J336" s="12" t="s">
        <v>63</v>
      </c>
      <c r="K336" s="12" t="b">
        <v>1</v>
      </c>
      <c r="L336" s="12">
        <v>7</v>
      </c>
      <c r="M336" s="8">
        <v>2020</v>
      </c>
      <c r="N336" s="9">
        <v>8500000</v>
      </c>
      <c r="O336" s="13">
        <v>41578</v>
      </c>
      <c r="P336" s="13">
        <v>41578</v>
      </c>
    </row>
    <row r="337" spans="1:16">
      <c r="A337" s="10">
        <v>2013</v>
      </c>
      <c r="B337" s="11" t="s">
        <v>466</v>
      </c>
      <c r="C337" s="11" t="s">
        <v>467</v>
      </c>
      <c r="D337" s="12">
        <v>1021011</v>
      </c>
      <c r="E337" s="12">
        <v>1</v>
      </c>
      <c r="F337" s="12"/>
      <c r="G337" s="12">
        <v>70</v>
      </c>
      <c r="H337" s="12" t="s">
        <v>62</v>
      </c>
      <c r="I337" s="12"/>
      <c r="J337" s="12" t="s">
        <v>63</v>
      </c>
      <c r="K337" s="12" t="b">
        <v>1</v>
      </c>
      <c r="L337" s="12">
        <v>9</v>
      </c>
      <c r="M337" s="8">
        <v>2022</v>
      </c>
      <c r="N337" s="9">
        <v>8900000</v>
      </c>
      <c r="O337" s="13">
        <v>41578</v>
      </c>
      <c r="P337" s="13">
        <v>41578</v>
      </c>
    </row>
    <row r="338" spans="1:16">
      <c r="A338" s="10">
        <v>2013</v>
      </c>
      <c r="B338" s="11" t="s">
        <v>466</v>
      </c>
      <c r="C338" s="11" t="s">
        <v>467</v>
      </c>
      <c r="D338" s="12">
        <v>1021011</v>
      </c>
      <c r="E338" s="12">
        <v>1</v>
      </c>
      <c r="F338" s="12"/>
      <c r="G338" s="12">
        <v>70</v>
      </c>
      <c r="H338" s="12" t="s">
        <v>62</v>
      </c>
      <c r="I338" s="12"/>
      <c r="J338" s="12" t="s">
        <v>63</v>
      </c>
      <c r="K338" s="12" t="b">
        <v>1</v>
      </c>
      <c r="L338" s="12">
        <v>5</v>
      </c>
      <c r="M338" s="8">
        <v>2018</v>
      </c>
      <c r="N338" s="9">
        <v>8200000</v>
      </c>
      <c r="O338" s="13">
        <v>41578</v>
      </c>
      <c r="P338" s="13">
        <v>41578</v>
      </c>
    </row>
    <row r="339" spans="1:16">
      <c r="A339" s="10">
        <v>2013</v>
      </c>
      <c r="B339" s="11" t="s">
        <v>466</v>
      </c>
      <c r="C339" s="11" t="s">
        <v>467</v>
      </c>
      <c r="D339" s="12">
        <v>1021011</v>
      </c>
      <c r="E339" s="12">
        <v>1</v>
      </c>
      <c r="F339" s="12"/>
      <c r="G339" s="12">
        <v>70</v>
      </c>
      <c r="H339" s="12" t="s">
        <v>62</v>
      </c>
      <c r="I339" s="12"/>
      <c r="J339" s="12" t="s">
        <v>63</v>
      </c>
      <c r="K339" s="12" t="b">
        <v>1</v>
      </c>
      <c r="L339" s="12">
        <v>8</v>
      </c>
      <c r="M339" s="8">
        <v>2021</v>
      </c>
      <c r="N339" s="9">
        <v>8700000</v>
      </c>
      <c r="O339" s="13">
        <v>41578</v>
      </c>
      <c r="P339" s="13">
        <v>41578</v>
      </c>
    </row>
    <row r="340" spans="1:16">
      <c r="A340" s="10">
        <v>2013</v>
      </c>
      <c r="B340" s="11" t="s">
        <v>466</v>
      </c>
      <c r="C340" s="11" t="s">
        <v>467</v>
      </c>
      <c r="D340" s="12">
        <v>1021011</v>
      </c>
      <c r="E340" s="12">
        <v>1</v>
      </c>
      <c r="F340" s="12"/>
      <c r="G340" s="12">
        <v>70</v>
      </c>
      <c r="H340" s="12" t="s">
        <v>62</v>
      </c>
      <c r="I340" s="12"/>
      <c r="J340" s="12" t="s">
        <v>63</v>
      </c>
      <c r="K340" s="12" t="b">
        <v>1</v>
      </c>
      <c r="L340" s="12">
        <v>6</v>
      </c>
      <c r="M340" s="8">
        <v>2019</v>
      </c>
      <c r="N340" s="9">
        <v>8350000</v>
      </c>
      <c r="O340" s="13">
        <v>41578</v>
      </c>
      <c r="P340" s="13">
        <v>41578</v>
      </c>
    </row>
    <row r="341" spans="1:16">
      <c r="A341" s="10">
        <v>2013</v>
      </c>
      <c r="B341" s="11" t="s">
        <v>466</v>
      </c>
      <c r="C341" s="11" t="s">
        <v>467</v>
      </c>
      <c r="D341" s="12">
        <v>1021011</v>
      </c>
      <c r="E341" s="12">
        <v>1</v>
      </c>
      <c r="F341" s="12"/>
      <c r="G341" s="12">
        <v>70</v>
      </c>
      <c r="H341" s="12" t="s">
        <v>62</v>
      </c>
      <c r="I341" s="12"/>
      <c r="J341" s="12" t="s">
        <v>63</v>
      </c>
      <c r="K341" s="12" t="b">
        <v>1</v>
      </c>
      <c r="L341" s="12">
        <v>3</v>
      </c>
      <c r="M341" s="8">
        <v>2016</v>
      </c>
      <c r="N341" s="9">
        <v>7900000</v>
      </c>
      <c r="O341" s="13">
        <v>41578</v>
      </c>
      <c r="P341" s="13">
        <v>41578</v>
      </c>
    </row>
    <row r="342" spans="1:16">
      <c r="A342" s="10">
        <v>2013</v>
      </c>
      <c r="B342" s="11" t="s">
        <v>466</v>
      </c>
      <c r="C342" s="11" t="s">
        <v>467</v>
      </c>
      <c r="D342" s="12">
        <v>1021011</v>
      </c>
      <c r="E342" s="12">
        <v>1</v>
      </c>
      <c r="F342" s="12"/>
      <c r="G342" s="12">
        <v>70</v>
      </c>
      <c r="H342" s="12" t="s">
        <v>62</v>
      </c>
      <c r="I342" s="12"/>
      <c r="J342" s="12" t="s">
        <v>63</v>
      </c>
      <c r="K342" s="12" t="b">
        <v>1</v>
      </c>
      <c r="L342" s="12">
        <v>4</v>
      </c>
      <c r="M342" s="8">
        <v>2017</v>
      </c>
      <c r="N342" s="9">
        <v>8050000</v>
      </c>
      <c r="O342" s="13">
        <v>41578</v>
      </c>
      <c r="P342" s="13">
        <v>41578</v>
      </c>
    </row>
    <row r="343" spans="1:16">
      <c r="A343" s="10">
        <v>2013</v>
      </c>
      <c r="B343" s="11" t="s">
        <v>466</v>
      </c>
      <c r="C343" s="11" t="s">
        <v>467</v>
      </c>
      <c r="D343" s="12">
        <v>1021011</v>
      </c>
      <c r="E343" s="12">
        <v>1</v>
      </c>
      <c r="F343" s="12"/>
      <c r="G343" s="12">
        <v>70</v>
      </c>
      <c r="H343" s="12" t="s">
        <v>62</v>
      </c>
      <c r="I343" s="12"/>
      <c r="J343" s="12" t="s">
        <v>63</v>
      </c>
      <c r="K343" s="12" t="b">
        <v>1</v>
      </c>
      <c r="L343" s="12">
        <v>0</v>
      </c>
      <c r="M343" s="8">
        <v>2013</v>
      </c>
      <c r="N343" s="9">
        <v>7466452</v>
      </c>
      <c r="O343" s="13">
        <v>41578</v>
      </c>
      <c r="P343" s="13">
        <v>41578</v>
      </c>
    </row>
    <row r="344" spans="1:16">
      <c r="A344" s="10">
        <v>2013</v>
      </c>
      <c r="B344" s="11" t="s">
        <v>466</v>
      </c>
      <c r="C344" s="11" t="s">
        <v>467</v>
      </c>
      <c r="D344" s="12">
        <v>1021011</v>
      </c>
      <c r="E344" s="12">
        <v>1</v>
      </c>
      <c r="F344" s="12"/>
      <c r="G344" s="12">
        <v>50</v>
      </c>
      <c r="H344" s="12" t="s">
        <v>58</v>
      </c>
      <c r="I344" s="12"/>
      <c r="J344" s="12" t="s">
        <v>59</v>
      </c>
      <c r="K344" s="12" t="b">
        <v>1</v>
      </c>
      <c r="L344" s="12">
        <v>10</v>
      </c>
      <c r="M344" s="8">
        <v>2023</v>
      </c>
      <c r="N344" s="9">
        <v>7650000</v>
      </c>
      <c r="O344" s="13">
        <v>41578</v>
      </c>
      <c r="P344" s="13">
        <v>41578</v>
      </c>
    </row>
    <row r="345" spans="1:16">
      <c r="A345" s="10">
        <v>2013</v>
      </c>
      <c r="B345" s="11" t="s">
        <v>466</v>
      </c>
      <c r="C345" s="11" t="s">
        <v>467</v>
      </c>
      <c r="D345" s="12">
        <v>1021011</v>
      </c>
      <c r="E345" s="12">
        <v>1</v>
      </c>
      <c r="F345" s="12"/>
      <c r="G345" s="12">
        <v>50</v>
      </c>
      <c r="H345" s="12" t="s">
        <v>58</v>
      </c>
      <c r="I345" s="12"/>
      <c r="J345" s="12" t="s">
        <v>59</v>
      </c>
      <c r="K345" s="12" t="b">
        <v>1</v>
      </c>
      <c r="L345" s="12">
        <v>4</v>
      </c>
      <c r="M345" s="8">
        <v>2017</v>
      </c>
      <c r="N345" s="9">
        <v>6750000</v>
      </c>
      <c r="O345" s="13">
        <v>41578</v>
      </c>
      <c r="P345" s="13">
        <v>41578</v>
      </c>
    </row>
    <row r="346" spans="1:16">
      <c r="A346" s="10">
        <v>2013</v>
      </c>
      <c r="B346" s="11" t="s">
        <v>466</v>
      </c>
      <c r="C346" s="11" t="s">
        <v>467</v>
      </c>
      <c r="D346" s="12">
        <v>1021011</v>
      </c>
      <c r="E346" s="12">
        <v>1</v>
      </c>
      <c r="F346" s="12"/>
      <c r="G346" s="12">
        <v>50</v>
      </c>
      <c r="H346" s="12" t="s">
        <v>58</v>
      </c>
      <c r="I346" s="12"/>
      <c r="J346" s="12" t="s">
        <v>59</v>
      </c>
      <c r="K346" s="12" t="b">
        <v>1</v>
      </c>
      <c r="L346" s="12">
        <v>3</v>
      </c>
      <c r="M346" s="8">
        <v>2016</v>
      </c>
      <c r="N346" s="9">
        <v>6600000</v>
      </c>
      <c r="O346" s="13">
        <v>41578</v>
      </c>
      <c r="P346" s="13">
        <v>41578</v>
      </c>
    </row>
    <row r="347" spans="1:16">
      <c r="A347" s="10">
        <v>2013</v>
      </c>
      <c r="B347" s="11" t="s">
        <v>466</v>
      </c>
      <c r="C347" s="11" t="s">
        <v>467</v>
      </c>
      <c r="D347" s="12">
        <v>1021011</v>
      </c>
      <c r="E347" s="12">
        <v>1</v>
      </c>
      <c r="F347" s="12"/>
      <c r="G347" s="12">
        <v>50</v>
      </c>
      <c r="H347" s="12" t="s">
        <v>58</v>
      </c>
      <c r="I347" s="12"/>
      <c r="J347" s="12" t="s">
        <v>59</v>
      </c>
      <c r="K347" s="12" t="b">
        <v>1</v>
      </c>
      <c r="L347" s="12">
        <v>5</v>
      </c>
      <c r="M347" s="8">
        <v>2018</v>
      </c>
      <c r="N347" s="9">
        <v>6900000</v>
      </c>
      <c r="O347" s="13">
        <v>41578</v>
      </c>
      <c r="P347" s="13">
        <v>41578</v>
      </c>
    </row>
    <row r="348" spans="1:16">
      <c r="A348" s="10">
        <v>2013</v>
      </c>
      <c r="B348" s="11" t="s">
        <v>466</v>
      </c>
      <c r="C348" s="11" t="s">
        <v>467</v>
      </c>
      <c r="D348" s="12">
        <v>1021011</v>
      </c>
      <c r="E348" s="12">
        <v>1</v>
      </c>
      <c r="F348" s="12"/>
      <c r="G348" s="12">
        <v>50</v>
      </c>
      <c r="H348" s="12" t="s">
        <v>58</v>
      </c>
      <c r="I348" s="12"/>
      <c r="J348" s="12" t="s">
        <v>59</v>
      </c>
      <c r="K348" s="12" t="b">
        <v>1</v>
      </c>
      <c r="L348" s="12">
        <v>7</v>
      </c>
      <c r="M348" s="8">
        <v>2020</v>
      </c>
      <c r="N348" s="9">
        <v>7200000</v>
      </c>
      <c r="O348" s="13">
        <v>41578</v>
      </c>
      <c r="P348" s="13">
        <v>41578</v>
      </c>
    </row>
    <row r="349" spans="1:16">
      <c r="A349" s="10">
        <v>2013</v>
      </c>
      <c r="B349" s="11" t="s">
        <v>466</v>
      </c>
      <c r="C349" s="11" t="s">
        <v>467</v>
      </c>
      <c r="D349" s="12">
        <v>1021011</v>
      </c>
      <c r="E349" s="12">
        <v>1</v>
      </c>
      <c r="F349" s="12"/>
      <c r="G349" s="12">
        <v>50</v>
      </c>
      <c r="H349" s="12" t="s">
        <v>58</v>
      </c>
      <c r="I349" s="12"/>
      <c r="J349" s="12" t="s">
        <v>59</v>
      </c>
      <c r="K349" s="12" t="b">
        <v>1</v>
      </c>
      <c r="L349" s="12">
        <v>1</v>
      </c>
      <c r="M349" s="8">
        <v>2014</v>
      </c>
      <c r="N349" s="9">
        <v>6300000</v>
      </c>
      <c r="O349" s="13">
        <v>41578</v>
      </c>
      <c r="P349" s="13">
        <v>41578</v>
      </c>
    </row>
    <row r="350" spans="1:16">
      <c r="A350" s="10">
        <v>2013</v>
      </c>
      <c r="B350" s="11" t="s">
        <v>466</v>
      </c>
      <c r="C350" s="11" t="s">
        <v>467</v>
      </c>
      <c r="D350" s="12">
        <v>1021011</v>
      </c>
      <c r="E350" s="12">
        <v>1</v>
      </c>
      <c r="F350" s="12"/>
      <c r="G350" s="12">
        <v>50</v>
      </c>
      <c r="H350" s="12" t="s">
        <v>58</v>
      </c>
      <c r="I350" s="12"/>
      <c r="J350" s="12" t="s">
        <v>59</v>
      </c>
      <c r="K350" s="12" t="b">
        <v>1</v>
      </c>
      <c r="L350" s="12">
        <v>2</v>
      </c>
      <c r="M350" s="8">
        <v>2015</v>
      </c>
      <c r="N350" s="9">
        <v>6450000</v>
      </c>
      <c r="O350" s="13">
        <v>41578</v>
      </c>
      <c r="P350" s="13">
        <v>41578</v>
      </c>
    </row>
    <row r="351" spans="1:16">
      <c r="A351" s="10">
        <v>2013</v>
      </c>
      <c r="B351" s="11" t="s">
        <v>466</v>
      </c>
      <c r="C351" s="11" t="s">
        <v>467</v>
      </c>
      <c r="D351" s="12">
        <v>1021011</v>
      </c>
      <c r="E351" s="12">
        <v>1</v>
      </c>
      <c r="F351" s="12"/>
      <c r="G351" s="12">
        <v>50</v>
      </c>
      <c r="H351" s="12" t="s">
        <v>58</v>
      </c>
      <c r="I351" s="12"/>
      <c r="J351" s="12" t="s">
        <v>59</v>
      </c>
      <c r="K351" s="12" t="b">
        <v>1</v>
      </c>
      <c r="L351" s="12">
        <v>6</v>
      </c>
      <c r="M351" s="8">
        <v>2019</v>
      </c>
      <c r="N351" s="9">
        <v>7050000</v>
      </c>
      <c r="O351" s="13">
        <v>41578</v>
      </c>
      <c r="P351" s="13">
        <v>41578</v>
      </c>
    </row>
    <row r="352" spans="1:16">
      <c r="A352" s="10">
        <v>2013</v>
      </c>
      <c r="B352" s="11" t="s">
        <v>466</v>
      </c>
      <c r="C352" s="11" t="s">
        <v>467</v>
      </c>
      <c r="D352" s="12">
        <v>1021011</v>
      </c>
      <c r="E352" s="12">
        <v>1</v>
      </c>
      <c r="F352" s="12"/>
      <c r="G352" s="12">
        <v>50</v>
      </c>
      <c r="H352" s="12" t="s">
        <v>58</v>
      </c>
      <c r="I352" s="12"/>
      <c r="J352" s="12" t="s">
        <v>59</v>
      </c>
      <c r="K352" s="12" t="b">
        <v>1</v>
      </c>
      <c r="L352" s="12">
        <v>0</v>
      </c>
      <c r="M352" s="8">
        <v>2013</v>
      </c>
      <c r="N352" s="9">
        <v>5853743.2999999998</v>
      </c>
      <c r="O352" s="13">
        <v>41578</v>
      </c>
      <c r="P352" s="13">
        <v>41578</v>
      </c>
    </row>
    <row r="353" spans="1:16">
      <c r="A353" s="10">
        <v>2013</v>
      </c>
      <c r="B353" s="11" t="s">
        <v>466</v>
      </c>
      <c r="C353" s="11" t="s">
        <v>467</v>
      </c>
      <c r="D353" s="12">
        <v>1021011</v>
      </c>
      <c r="E353" s="12">
        <v>1</v>
      </c>
      <c r="F353" s="12"/>
      <c r="G353" s="12">
        <v>50</v>
      </c>
      <c r="H353" s="12" t="s">
        <v>58</v>
      </c>
      <c r="I353" s="12"/>
      <c r="J353" s="12" t="s">
        <v>59</v>
      </c>
      <c r="K353" s="12" t="b">
        <v>1</v>
      </c>
      <c r="L353" s="12">
        <v>8</v>
      </c>
      <c r="M353" s="8">
        <v>2021</v>
      </c>
      <c r="N353" s="9">
        <v>7350000</v>
      </c>
      <c r="O353" s="13">
        <v>41578</v>
      </c>
      <c r="P353" s="13">
        <v>41578</v>
      </c>
    </row>
    <row r="354" spans="1:16">
      <c r="A354" s="10">
        <v>2013</v>
      </c>
      <c r="B354" s="11" t="s">
        <v>466</v>
      </c>
      <c r="C354" s="11" t="s">
        <v>467</v>
      </c>
      <c r="D354" s="12">
        <v>1021011</v>
      </c>
      <c r="E354" s="12">
        <v>1</v>
      </c>
      <c r="F354" s="12"/>
      <c r="G354" s="12">
        <v>50</v>
      </c>
      <c r="H354" s="12" t="s">
        <v>58</v>
      </c>
      <c r="I354" s="12"/>
      <c r="J354" s="12" t="s">
        <v>59</v>
      </c>
      <c r="K354" s="12" t="b">
        <v>1</v>
      </c>
      <c r="L354" s="12">
        <v>9</v>
      </c>
      <c r="M354" s="8">
        <v>2022</v>
      </c>
      <c r="N354" s="9">
        <v>7500000</v>
      </c>
      <c r="O354" s="13">
        <v>41578</v>
      </c>
      <c r="P354" s="13">
        <v>41578</v>
      </c>
    </row>
    <row r="355" spans="1:16">
      <c r="A355" s="10">
        <v>2013</v>
      </c>
      <c r="B355" s="11" t="s">
        <v>466</v>
      </c>
      <c r="C355" s="11" t="s">
        <v>467</v>
      </c>
      <c r="D355" s="12">
        <v>1021011</v>
      </c>
      <c r="E355" s="12">
        <v>1</v>
      </c>
      <c r="F355" s="12"/>
      <c r="G355" s="12">
        <v>130</v>
      </c>
      <c r="H355" s="12">
        <v>2.1</v>
      </c>
      <c r="I355" s="12"/>
      <c r="J355" s="12" t="s">
        <v>71</v>
      </c>
      <c r="K355" s="12" t="b">
        <v>1</v>
      </c>
      <c r="L355" s="12">
        <v>7</v>
      </c>
      <c r="M355" s="8">
        <v>2020</v>
      </c>
      <c r="N355" s="9">
        <v>29140000</v>
      </c>
      <c r="O355" s="13">
        <v>41578</v>
      </c>
      <c r="P355" s="13">
        <v>41578</v>
      </c>
    </row>
    <row r="356" spans="1:16">
      <c r="A356" s="10">
        <v>2013</v>
      </c>
      <c r="B356" s="11" t="s">
        <v>466</v>
      </c>
      <c r="C356" s="11" t="s">
        <v>467</v>
      </c>
      <c r="D356" s="12">
        <v>1021011</v>
      </c>
      <c r="E356" s="12">
        <v>1</v>
      </c>
      <c r="F356" s="12"/>
      <c r="G356" s="12">
        <v>130</v>
      </c>
      <c r="H356" s="12">
        <v>2.1</v>
      </c>
      <c r="I356" s="12"/>
      <c r="J356" s="12" t="s">
        <v>71</v>
      </c>
      <c r="K356" s="12" t="b">
        <v>1</v>
      </c>
      <c r="L356" s="12">
        <v>1</v>
      </c>
      <c r="M356" s="8">
        <v>2014</v>
      </c>
      <c r="N356" s="9">
        <v>26878935.149999999</v>
      </c>
      <c r="O356" s="13">
        <v>41578</v>
      </c>
      <c r="P356" s="13">
        <v>41578</v>
      </c>
    </row>
    <row r="357" spans="1:16">
      <c r="A357" s="10">
        <v>2013</v>
      </c>
      <c r="B357" s="11" t="s">
        <v>466</v>
      </c>
      <c r="C357" s="11" t="s">
        <v>467</v>
      </c>
      <c r="D357" s="12">
        <v>1021011</v>
      </c>
      <c r="E357" s="12">
        <v>1</v>
      </c>
      <c r="F357" s="12"/>
      <c r="G357" s="12">
        <v>130</v>
      </c>
      <c r="H357" s="12">
        <v>2.1</v>
      </c>
      <c r="I357" s="12"/>
      <c r="J357" s="12" t="s">
        <v>71</v>
      </c>
      <c r="K357" s="12" t="b">
        <v>1</v>
      </c>
      <c r="L357" s="12">
        <v>2</v>
      </c>
      <c r="M357" s="8">
        <v>2015</v>
      </c>
      <c r="N357" s="9">
        <v>27150000</v>
      </c>
      <c r="O357" s="13">
        <v>41578</v>
      </c>
      <c r="P357" s="13">
        <v>41578</v>
      </c>
    </row>
    <row r="358" spans="1:16">
      <c r="A358" s="10">
        <v>2013</v>
      </c>
      <c r="B358" s="11" t="s">
        <v>466</v>
      </c>
      <c r="C358" s="11" t="s">
        <v>467</v>
      </c>
      <c r="D358" s="12">
        <v>1021011</v>
      </c>
      <c r="E358" s="12">
        <v>1</v>
      </c>
      <c r="F358" s="12"/>
      <c r="G358" s="12">
        <v>130</v>
      </c>
      <c r="H358" s="12">
        <v>2.1</v>
      </c>
      <c r="I358" s="12"/>
      <c r="J358" s="12" t="s">
        <v>71</v>
      </c>
      <c r="K358" s="12" t="b">
        <v>1</v>
      </c>
      <c r="L358" s="12">
        <v>10</v>
      </c>
      <c r="M358" s="8">
        <v>2023</v>
      </c>
      <c r="N358" s="9">
        <v>30560000</v>
      </c>
      <c r="O358" s="13">
        <v>41578</v>
      </c>
      <c r="P358" s="13">
        <v>41578</v>
      </c>
    </row>
    <row r="359" spans="1:16">
      <c r="A359" s="10">
        <v>2013</v>
      </c>
      <c r="B359" s="11" t="s">
        <v>466</v>
      </c>
      <c r="C359" s="11" t="s">
        <v>467</v>
      </c>
      <c r="D359" s="12">
        <v>1021011</v>
      </c>
      <c r="E359" s="12">
        <v>1</v>
      </c>
      <c r="F359" s="12"/>
      <c r="G359" s="12">
        <v>130</v>
      </c>
      <c r="H359" s="12">
        <v>2.1</v>
      </c>
      <c r="I359" s="12"/>
      <c r="J359" s="12" t="s">
        <v>71</v>
      </c>
      <c r="K359" s="12" t="b">
        <v>1</v>
      </c>
      <c r="L359" s="12">
        <v>4</v>
      </c>
      <c r="M359" s="8">
        <v>2017</v>
      </c>
      <c r="N359" s="9">
        <v>27790000</v>
      </c>
      <c r="O359" s="13">
        <v>41578</v>
      </c>
      <c r="P359" s="13">
        <v>41578</v>
      </c>
    </row>
    <row r="360" spans="1:16">
      <c r="A360" s="10">
        <v>2013</v>
      </c>
      <c r="B360" s="11" t="s">
        <v>466</v>
      </c>
      <c r="C360" s="11" t="s">
        <v>467</v>
      </c>
      <c r="D360" s="12">
        <v>1021011</v>
      </c>
      <c r="E360" s="12">
        <v>1</v>
      </c>
      <c r="F360" s="12"/>
      <c r="G360" s="12">
        <v>130</v>
      </c>
      <c r="H360" s="12">
        <v>2.1</v>
      </c>
      <c r="I360" s="12"/>
      <c r="J360" s="12" t="s">
        <v>71</v>
      </c>
      <c r="K360" s="12" t="b">
        <v>1</v>
      </c>
      <c r="L360" s="12">
        <v>6</v>
      </c>
      <c r="M360" s="8">
        <v>2019</v>
      </c>
      <c r="N360" s="9">
        <v>28670000</v>
      </c>
      <c r="O360" s="13">
        <v>41578</v>
      </c>
      <c r="P360" s="13">
        <v>41578</v>
      </c>
    </row>
    <row r="361" spans="1:16">
      <c r="A361" s="10">
        <v>2013</v>
      </c>
      <c r="B361" s="11" t="s">
        <v>466</v>
      </c>
      <c r="C361" s="11" t="s">
        <v>467</v>
      </c>
      <c r="D361" s="12">
        <v>1021011</v>
      </c>
      <c r="E361" s="12">
        <v>1</v>
      </c>
      <c r="F361" s="12"/>
      <c r="G361" s="12">
        <v>130</v>
      </c>
      <c r="H361" s="12">
        <v>2.1</v>
      </c>
      <c r="I361" s="12"/>
      <c r="J361" s="12" t="s">
        <v>71</v>
      </c>
      <c r="K361" s="12" t="b">
        <v>1</v>
      </c>
      <c r="L361" s="12">
        <v>0</v>
      </c>
      <c r="M361" s="8">
        <v>2013</v>
      </c>
      <c r="N361" s="9">
        <v>31342902.25</v>
      </c>
      <c r="O361" s="13">
        <v>41578</v>
      </c>
      <c r="P361" s="13">
        <v>41578</v>
      </c>
    </row>
    <row r="362" spans="1:16">
      <c r="A362" s="10">
        <v>2013</v>
      </c>
      <c r="B362" s="11" t="s">
        <v>466</v>
      </c>
      <c r="C362" s="11" t="s">
        <v>467</v>
      </c>
      <c r="D362" s="12">
        <v>1021011</v>
      </c>
      <c r="E362" s="12">
        <v>1</v>
      </c>
      <c r="F362" s="12"/>
      <c r="G362" s="12">
        <v>130</v>
      </c>
      <c r="H362" s="12">
        <v>2.1</v>
      </c>
      <c r="I362" s="12"/>
      <c r="J362" s="12" t="s">
        <v>71</v>
      </c>
      <c r="K362" s="12" t="b">
        <v>1</v>
      </c>
      <c r="L362" s="12">
        <v>8</v>
      </c>
      <c r="M362" s="8">
        <v>2021</v>
      </c>
      <c r="N362" s="9">
        <v>29610000</v>
      </c>
      <c r="O362" s="13">
        <v>41578</v>
      </c>
      <c r="P362" s="13">
        <v>41578</v>
      </c>
    </row>
    <row r="363" spans="1:16">
      <c r="A363" s="10">
        <v>2013</v>
      </c>
      <c r="B363" s="11" t="s">
        <v>466</v>
      </c>
      <c r="C363" s="11" t="s">
        <v>467</v>
      </c>
      <c r="D363" s="12">
        <v>1021011</v>
      </c>
      <c r="E363" s="12">
        <v>1</v>
      </c>
      <c r="F363" s="12"/>
      <c r="G363" s="12">
        <v>130</v>
      </c>
      <c r="H363" s="12">
        <v>2.1</v>
      </c>
      <c r="I363" s="12"/>
      <c r="J363" s="12" t="s">
        <v>71</v>
      </c>
      <c r="K363" s="12" t="b">
        <v>1</v>
      </c>
      <c r="L363" s="12">
        <v>9</v>
      </c>
      <c r="M363" s="8">
        <v>2022</v>
      </c>
      <c r="N363" s="9">
        <v>30060000</v>
      </c>
      <c r="O363" s="13">
        <v>41578</v>
      </c>
      <c r="P363" s="13">
        <v>41578</v>
      </c>
    </row>
    <row r="364" spans="1:16">
      <c r="A364" s="10">
        <v>2013</v>
      </c>
      <c r="B364" s="11" t="s">
        <v>466</v>
      </c>
      <c r="C364" s="11" t="s">
        <v>467</v>
      </c>
      <c r="D364" s="12">
        <v>1021011</v>
      </c>
      <c r="E364" s="12">
        <v>1</v>
      </c>
      <c r="F364" s="12"/>
      <c r="G364" s="12">
        <v>130</v>
      </c>
      <c r="H364" s="12">
        <v>2.1</v>
      </c>
      <c r="I364" s="12"/>
      <c r="J364" s="12" t="s">
        <v>71</v>
      </c>
      <c r="K364" s="12" t="b">
        <v>1</v>
      </c>
      <c r="L364" s="12">
        <v>3</v>
      </c>
      <c r="M364" s="8">
        <v>2016</v>
      </c>
      <c r="N364" s="9">
        <v>27420000</v>
      </c>
      <c r="O364" s="13">
        <v>41578</v>
      </c>
      <c r="P364" s="13">
        <v>41578</v>
      </c>
    </row>
    <row r="365" spans="1:16">
      <c r="A365" s="10">
        <v>2013</v>
      </c>
      <c r="B365" s="11" t="s">
        <v>466</v>
      </c>
      <c r="C365" s="11" t="s">
        <v>467</v>
      </c>
      <c r="D365" s="12">
        <v>1021011</v>
      </c>
      <c r="E365" s="12">
        <v>1</v>
      </c>
      <c r="F365" s="12"/>
      <c r="G365" s="12">
        <v>130</v>
      </c>
      <c r="H365" s="12">
        <v>2.1</v>
      </c>
      <c r="I365" s="12"/>
      <c r="J365" s="12" t="s">
        <v>71</v>
      </c>
      <c r="K365" s="12" t="b">
        <v>1</v>
      </c>
      <c r="L365" s="12">
        <v>5</v>
      </c>
      <c r="M365" s="8">
        <v>2018</v>
      </c>
      <c r="N365" s="9">
        <v>28230000</v>
      </c>
      <c r="O365" s="13">
        <v>41578</v>
      </c>
      <c r="P365" s="13">
        <v>41578</v>
      </c>
    </row>
    <row r="366" spans="1:16">
      <c r="A366" s="10">
        <v>2013</v>
      </c>
      <c r="B366" s="11" t="s">
        <v>466</v>
      </c>
      <c r="C366" s="11" t="s">
        <v>467</v>
      </c>
      <c r="D366" s="12">
        <v>1021011</v>
      </c>
      <c r="E366" s="12">
        <v>1</v>
      </c>
      <c r="F366" s="12"/>
      <c r="G366" s="12">
        <v>180</v>
      </c>
      <c r="H366" s="12" t="s">
        <v>80</v>
      </c>
      <c r="I366" s="12"/>
      <c r="J366" s="12" t="s">
        <v>81</v>
      </c>
      <c r="K366" s="12" t="b">
        <v>0</v>
      </c>
      <c r="L366" s="12">
        <v>10</v>
      </c>
      <c r="M366" s="8">
        <v>2023</v>
      </c>
      <c r="N366" s="9">
        <v>69000</v>
      </c>
      <c r="O366" s="13">
        <v>41578</v>
      </c>
      <c r="P366" s="13">
        <v>41578</v>
      </c>
    </row>
    <row r="367" spans="1:16">
      <c r="A367" s="10">
        <v>2013</v>
      </c>
      <c r="B367" s="11" t="s">
        <v>466</v>
      </c>
      <c r="C367" s="11" t="s">
        <v>467</v>
      </c>
      <c r="D367" s="12">
        <v>1021011</v>
      </c>
      <c r="E367" s="12">
        <v>1</v>
      </c>
      <c r="F367" s="12"/>
      <c r="G367" s="12">
        <v>180</v>
      </c>
      <c r="H367" s="12" t="s">
        <v>80</v>
      </c>
      <c r="I367" s="12"/>
      <c r="J367" s="12" t="s">
        <v>81</v>
      </c>
      <c r="K367" s="12" t="b">
        <v>0</v>
      </c>
      <c r="L367" s="12">
        <v>2</v>
      </c>
      <c r="M367" s="8">
        <v>2015</v>
      </c>
      <c r="N367" s="9">
        <v>559000</v>
      </c>
      <c r="O367" s="13">
        <v>41578</v>
      </c>
      <c r="P367" s="13">
        <v>41578</v>
      </c>
    </row>
    <row r="368" spans="1:16">
      <c r="A368" s="10">
        <v>2013</v>
      </c>
      <c r="B368" s="11" t="s">
        <v>466</v>
      </c>
      <c r="C368" s="11" t="s">
        <v>467</v>
      </c>
      <c r="D368" s="12">
        <v>1021011</v>
      </c>
      <c r="E368" s="12">
        <v>1</v>
      </c>
      <c r="F368" s="12"/>
      <c r="G368" s="12">
        <v>180</v>
      </c>
      <c r="H368" s="12" t="s">
        <v>80</v>
      </c>
      <c r="I368" s="12"/>
      <c r="J368" s="12" t="s">
        <v>81</v>
      </c>
      <c r="K368" s="12" t="b">
        <v>0</v>
      </c>
      <c r="L368" s="12">
        <v>0</v>
      </c>
      <c r="M368" s="8">
        <v>2013</v>
      </c>
      <c r="N368" s="9">
        <v>700000</v>
      </c>
      <c r="O368" s="13">
        <v>41578</v>
      </c>
      <c r="P368" s="13">
        <v>41578</v>
      </c>
    </row>
    <row r="369" spans="1:16">
      <c r="A369" s="10">
        <v>2013</v>
      </c>
      <c r="B369" s="11" t="s">
        <v>466</v>
      </c>
      <c r="C369" s="11" t="s">
        <v>467</v>
      </c>
      <c r="D369" s="12">
        <v>1021011</v>
      </c>
      <c r="E369" s="12">
        <v>1</v>
      </c>
      <c r="F369" s="12"/>
      <c r="G369" s="12">
        <v>180</v>
      </c>
      <c r="H369" s="12" t="s">
        <v>80</v>
      </c>
      <c r="I369" s="12"/>
      <c r="J369" s="12" t="s">
        <v>81</v>
      </c>
      <c r="K369" s="12" t="b">
        <v>0</v>
      </c>
      <c r="L369" s="12">
        <v>4</v>
      </c>
      <c r="M369" s="8">
        <v>2017</v>
      </c>
      <c r="N369" s="9">
        <v>434000</v>
      </c>
      <c r="O369" s="13">
        <v>41578</v>
      </c>
      <c r="P369" s="13">
        <v>41578</v>
      </c>
    </row>
    <row r="370" spans="1:16">
      <c r="A370" s="10">
        <v>2013</v>
      </c>
      <c r="B370" s="11" t="s">
        <v>466</v>
      </c>
      <c r="C370" s="11" t="s">
        <v>467</v>
      </c>
      <c r="D370" s="12">
        <v>1021011</v>
      </c>
      <c r="E370" s="12">
        <v>1</v>
      </c>
      <c r="F370" s="12"/>
      <c r="G370" s="12">
        <v>180</v>
      </c>
      <c r="H370" s="12" t="s">
        <v>80</v>
      </c>
      <c r="I370" s="12"/>
      <c r="J370" s="12" t="s">
        <v>81</v>
      </c>
      <c r="K370" s="12" t="b">
        <v>0</v>
      </c>
      <c r="L370" s="12">
        <v>3</v>
      </c>
      <c r="M370" s="8">
        <v>2016</v>
      </c>
      <c r="N370" s="9">
        <v>503000</v>
      </c>
      <c r="O370" s="13">
        <v>41578</v>
      </c>
      <c r="P370" s="13">
        <v>41578</v>
      </c>
    </row>
    <row r="371" spans="1:16">
      <c r="A371" s="10">
        <v>2013</v>
      </c>
      <c r="B371" s="11" t="s">
        <v>466</v>
      </c>
      <c r="C371" s="11" t="s">
        <v>467</v>
      </c>
      <c r="D371" s="12">
        <v>1021011</v>
      </c>
      <c r="E371" s="12">
        <v>1</v>
      </c>
      <c r="F371" s="12"/>
      <c r="G371" s="12">
        <v>180</v>
      </c>
      <c r="H371" s="12" t="s">
        <v>80</v>
      </c>
      <c r="I371" s="12"/>
      <c r="J371" s="12" t="s">
        <v>81</v>
      </c>
      <c r="K371" s="12" t="b">
        <v>0</v>
      </c>
      <c r="L371" s="12">
        <v>9</v>
      </c>
      <c r="M371" s="8">
        <v>2022</v>
      </c>
      <c r="N371" s="9">
        <v>128000</v>
      </c>
      <c r="O371" s="13">
        <v>41578</v>
      </c>
      <c r="P371" s="13">
        <v>41578</v>
      </c>
    </row>
    <row r="372" spans="1:16">
      <c r="A372" s="10">
        <v>2013</v>
      </c>
      <c r="B372" s="11" t="s">
        <v>466</v>
      </c>
      <c r="C372" s="11" t="s">
        <v>467</v>
      </c>
      <c r="D372" s="12">
        <v>1021011</v>
      </c>
      <c r="E372" s="12">
        <v>1</v>
      </c>
      <c r="F372" s="12"/>
      <c r="G372" s="12">
        <v>180</v>
      </c>
      <c r="H372" s="12" t="s">
        <v>80</v>
      </c>
      <c r="I372" s="12"/>
      <c r="J372" s="12" t="s">
        <v>81</v>
      </c>
      <c r="K372" s="12" t="b">
        <v>0</v>
      </c>
      <c r="L372" s="12">
        <v>7</v>
      </c>
      <c r="M372" s="8">
        <v>2020</v>
      </c>
      <c r="N372" s="9">
        <v>237000</v>
      </c>
      <c r="O372" s="13">
        <v>41578</v>
      </c>
      <c r="P372" s="13">
        <v>41578</v>
      </c>
    </row>
    <row r="373" spans="1:16">
      <c r="A373" s="10">
        <v>2013</v>
      </c>
      <c r="B373" s="11" t="s">
        <v>466</v>
      </c>
      <c r="C373" s="11" t="s">
        <v>467</v>
      </c>
      <c r="D373" s="12">
        <v>1021011</v>
      </c>
      <c r="E373" s="12">
        <v>1</v>
      </c>
      <c r="F373" s="12"/>
      <c r="G373" s="12">
        <v>180</v>
      </c>
      <c r="H373" s="12" t="s">
        <v>80</v>
      </c>
      <c r="I373" s="12"/>
      <c r="J373" s="12" t="s">
        <v>81</v>
      </c>
      <c r="K373" s="12" t="b">
        <v>0</v>
      </c>
      <c r="L373" s="12">
        <v>8</v>
      </c>
      <c r="M373" s="8">
        <v>2021</v>
      </c>
      <c r="N373" s="9">
        <v>185000</v>
      </c>
      <c r="O373" s="13">
        <v>41578</v>
      </c>
      <c r="P373" s="13">
        <v>41578</v>
      </c>
    </row>
    <row r="374" spans="1:16">
      <c r="A374" s="10">
        <v>2013</v>
      </c>
      <c r="B374" s="11" t="s">
        <v>466</v>
      </c>
      <c r="C374" s="11" t="s">
        <v>467</v>
      </c>
      <c r="D374" s="12">
        <v>1021011</v>
      </c>
      <c r="E374" s="12">
        <v>1</v>
      </c>
      <c r="F374" s="12"/>
      <c r="G374" s="12">
        <v>180</v>
      </c>
      <c r="H374" s="12" t="s">
        <v>80</v>
      </c>
      <c r="I374" s="12"/>
      <c r="J374" s="12" t="s">
        <v>81</v>
      </c>
      <c r="K374" s="12" t="b">
        <v>0</v>
      </c>
      <c r="L374" s="12">
        <v>6</v>
      </c>
      <c r="M374" s="8">
        <v>2019</v>
      </c>
      <c r="N374" s="9">
        <v>302000</v>
      </c>
      <c r="O374" s="13">
        <v>41578</v>
      </c>
      <c r="P374" s="13">
        <v>41578</v>
      </c>
    </row>
    <row r="375" spans="1:16">
      <c r="A375" s="10">
        <v>2013</v>
      </c>
      <c r="B375" s="11" t="s">
        <v>466</v>
      </c>
      <c r="C375" s="11" t="s">
        <v>467</v>
      </c>
      <c r="D375" s="12">
        <v>1021011</v>
      </c>
      <c r="E375" s="12">
        <v>1</v>
      </c>
      <c r="F375" s="12"/>
      <c r="G375" s="12">
        <v>180</v>
      </c>
      <c r="H375" s="12" t="s">
        <v>80</v>
      </c>
      <c r="I375" s="12"/>
      <c r="J375" s="12" t="s">
        <v>81</v>
      </c>
      <c r="K375" s="12" t="b">
        <v>0</v>
      </c>
      <c r="L375" s="12">
        <v>5</v>
      </c>
      <c r="M375" s="8">
        <v>2018</v>
      </c>
      <c r="N375" s="9">
        <v>366000</v>
      </c>
      <c r="O375" s="13">
        <v>41578</v>
      </c>
      <c r="P375" s="13">
        <v>41578</v>
      </c>
    </row>
    <row r="376" spans="1:16">
      <c r="A376" s="10">
        <v>2013</v>
      </c>
      <c r="B376" s="11" t="s">
        <v>466</v>
      </c>
      <c r="C376" s="11" t="s">
        <v>467</v>
      </c>
      <c r="D376" s="12">
        <v>1021011</v>
      </c>
      <c r="E376" s="12">
        <v>1</v>
      </c>
      <c r="F376" s="12"/>
      <c r="G376" s="12">
        <v>180</v>
      </c>
      <c r="H376" s="12" t="s">
        <v>80</v>
      </c>
      <c r="I376" s="12"/>
      <c r="J376" s="12" t="s">
        <v>81</v>
      </c>
      <c r="K376" s="12" t="b">
        <v>0</v>
      </c>
      <c r="L376" s="12">
        <v>1</v>
      </c>
      <c r="M376" s="8">
        <v>2014</v>
      </c>
      <c r="N376" s="9">
        <v>602000</v>
      </c>
      <c r="O376" s="13">
        <v>41578</v>
      </c>
      <c r="P376" s="13">
        <v>41578</v>
      </c>
    </row>
    <row r="377" spans="1:16">
      <c r="A377" s="10">
        <v>2013</v>
      </c>
      <c r="B377" s="11" t="s">
        <v>466</v>
      </c>
      <c r="C377" s="11" t="s">
        <v>467</v>
      </c>
      <c r="D377" s="12">
        <v>1021011</v>
      </c>
      <c r="E377" s="12">
        <v>1</v>
      </c>
      <c r="F377" s="12"/>
      <c r="G377" s="12">
        <v>510</v>
      </c>
      <c r="H377" s="12">
        <v>9.6999999999999993</v>
      </c>
      <c r="I377" s="12"/>
      <c r="J377" s="12" t="s">
        <v>9</v>
      </c>
      <c r="K377" s="12" t="b">
        <v>1</v>
      </c>
      <c r="L377" s="12">
        <v>4</v>
      </c>
      <c r="M377" s="8">
        <v>2017</v>
      </c>
      <c r="N377" s="9">
        <v>0.1381</v>
      </c>
      <c r="O377" s="13">
        <v>41578</v>
      </c>
      <c r="P377" s="13">
        <v>41578</v>
      </c>
    </row>
    <row r="378" spans="1:16">
      <c r="A378" s="10">
        <v>2013</v>
      </c>
      <c r="B378" s="11" t="s">
        <v>466</v>
      </c>
      <c r="C378" s="11" t="s">
        <v>467</v>
      </c>
      <c r="D378" s="12">
        <v>1021011</v>
      </c>
      <c r="E378" s="12">
        <v>1</v>
      </c>
      <c r="F378" s="12"/>
      <c r="G378" s="12">
        <v>510</v>
      </c>
      <c r="H378" s="12">
        <v>9.6999999999999993</v>
      </c>
      <c r="I378" s="12"/>
      <c r="J378" s="12" t="s">
        <v>9</v>
      </c>
      <c r="K378" s="12" t="b">
        <v>1</v>
      </c>
      <c r="L378" s="12">
        <v>2</v>
      </c>
      <c r="M378" s="8">
        <v>2015</v>
      </c>
      <c r="N378" s="9">
        <v>6.7599999999999993E-2</v>
      </c>
      <c r="O378" s="13">
        <v>41578</v>
      </c>
      <c r="P378" s="13">
        <v>41578</v>
      </c>
    </row>
    <row r="379" spans="1:16">
      <c r="A379" s="10">
        <v>2013</v>
      </c>
      <c r="B379" s="11" t="s">
        <v>466</v>
      </c>
      <c r="C379" s="11" t="s">
        <v>467</v>
      </c>
      <c r="D379" s="12">
        <v>1021011</v>
      </c>
      <c r="E379" s="12">
        <v>1</v>
      </c>
      <c r="F379" s="12"/>
      <c r="G379" s="12">
        <v>510</v>
      </c>
      <c r="H379" s="12">
        <v>9.6999999999999993</v>
      </c>
      <c r="I379" s="12"/>
      <c r="J379" s="12" t="s">
        <v>9</v>
      </c>
      <c r="K379" s="12" t="b">
        <v>1</v>
      </c>
      <c r="L379" s="12">
        <v>9</v>
      </c>
      <c r="M379" s="8">
        <v>2022</v>
      </c>
      <c r="N379" s="9">
        <v>0.13009999999999999</v>
      </c>
      <c r="O379" s="13">
        <v>41578</v>
      </c>
      <c r="P379" s="13">
        <v>41578</v>
      </c>
    </row>
    <row r="380" spans="1:16">
      <c r="A380" s="10">
        <v>2013</v>
      </c>
      <c r="B380" s="11" t="s">
        <v>466</v>
      </c>
      <c r="C380" s="11" t="s">
        <v>467</v>
      </c>
      <c r="D380" s="12">
        <v>1021011</v>
      </c>
      <c r="E380" s="12">
        <v>1</v>
      </c>
      <c r="F380" s="12"/>
      <c r="G380" s="12">
        <v>510</v>
      </c>
      <c r="H380" s="12">
        <v>9.6999999999999993</v>
      </c>
      <c r="I380" s="12"/>
      <c r="J380" s="12" t="s">
        <v>9</v>
      </c>
      <c r="K380" s="12" t="b">
        <v>1</v>
      </c>
      <c r="L380" s="12">
        <v>10</v>
      </c>
      <c r="M380" s="8">
        <v>2023</v>
      </c>
      <c r="N380" s="9">
        <v>0.1293</v>
      </c>
      <c r="O380" s="13">
        <v>41578</v>
      </c>
      <c r="P380" s="13">
        <v>41578</v>
      </c>
    </row>
    <row r="381" spans="1:16">
      <c r="A381" s="10">
        <v>2013</v>
      </c>
      <c r="B381" s="11" t="s">
        <v>466</v>
      </c>
      <c r="C381" s="11" t="s">
        <v>467</v>
      </c>
      <c r="D381" s="12">
        <v>1021011</v>
      </c>
      <c r="E381" s="12">
        <v>1</v>
      </c>
      <c r="F381" s="12"/>
      <c r="G381" s="12">
        <v>510</v>
      </c>
      <c r="H381" s="12">
        <v>9.6999999999999993</v>
      </c>
      <c r="I381" s="12"/>
      <c r="J381" s="12" t="s">
        <v>9</v>
      </c>
      <c r="K381" s="12" t="b">
        <v>1</v>
      </c>
      <c r="L381" s="12">
        <v>7</v>
      </c>
      <c r="M381" s="8">
        <v>2020</v>
      </c>
      <c r="N381" s="9">
        <v>0.13139999999999999</v>
      </c>
      <c r="O381" s="13">
        <v>41578</v>
      </c>
      <c r="P381" s="13">
        <v>41578</v>
      </c>
    </row>
    <row r="382" spans="1:16">
      <c r="A382" s="10">
        <v>2013</v>
      </c>
      <c r="B382" s="11" t="s">
        <v>466</v>
      </c>
      <c r="C382" s="11" t="s">
        <v>467</v>
      </c>
      <c r="D382" s="12">
        <v>1021011</v>
      </c>
      <c r="E382" s="12">
        <v>1</v>
      </c>
      <c r="F382" s="12"/>
      <c r="G382" s="12">
        <v>510</v>
      </c>
      <c r="H382" s="12">
        <v>9.6999999999999993</v>
      </c>
      <c r="I382" s="12"/>
      <c r="J382" s="12" t="s">
        <v>9</v>
      </c>
      <c r="K382" s="12" t="b">
        <v>1</v>
      </c>
      <c r="L382" s="12">
        <v>6</v>
      </c>
      <c r="M382" s="8">
        <v>2019</v>
      </c>
      <c r="N382" s="9">
        <v>0.1308</v>
      </c>
      <c r="O382" s="13">
        <v>41578</v>
      </c>
      <c r="P382" s="13">
        <v>41578</v>
      </c>
    </row>
    <row r="383" spans="1:16">
      <c r="A383" s="10">
        <v>2013</v>
      </c>
      <c r="B383" s="11" t="s">
        <v>466</v>
      </c>
      <c r="C383" s="11" t="s">
        <v>467</v>
      </c>
      <c r="D383" s="12">
        <v>1021011</v>
      </c>
      <c r="E383" s="12">
        <v>1</v>
      </c>
      <c r="F383" s="12"/>
      <c r="G383" s="12">
        <v>200</v>
      </c>
      <c r="H383" s="12">
        <v>3</v>
      </c>
      <c r="I383" s="12" t="s">
        <v>10</v>
      </c>
      <c r="J383" s="12" t="s">
        <v>36</v>
      </c>
      <c r="K383" s="12" t="b">
        <v>0</v>
      </c>
      <c r="L383" s="12">
        <v>3</v>
      </c>
      <c r="M383" s="8">
        <v>2016</v>
      </c>
      <c r="N383" s="9">
        <v>1565696</v>
      </c>
      <c r="O383" s="13">
        <v>41578</v>
      </c>
      <c r="P383" s="13">
        <v>41578</v>
      </c>
    </row>
    <row r="384" spans="1:16">
      <c r="A384" s="10">
        <v>2013</v>
      </c>
      <c r="B384" s="11" t="s">
        <v>466</v>
      </c>
      <c r="C384" s="11" t="s">
        <v>467</v>
      </c>
      <c r="D384" s="12">
        <v>1021011</v>
      </c>
      <c r="E384" s="12">
        <v>1</v>
      </c>
      <c r="F384" s="12"/>
      <c r="G384" s="12">
        <v>200</v>
      </c>
      <c r="H384" s="12">
        <v>3</v>
      </c>
      <c r="I384" s="12" t="s">
        <v>10</v>
      </c>
      <c r="J384" s="12" t="s">
        <v>36</v>
      </c>
      <c r="K384" s="12" t="b">
        <v>0</v>
      </c>
      <c r="L384" s="12">
        <v>7</v>
      </c>
      <c r="M384" s="8">
        <v>2020</v>
      </c>
      <c r="N384" s="9">
        <v>1610004</v>
      </c>
      <c r="O384" s="13">
        <v>41578</v>
      </c>
      <c r="P384" s="13">
        <v>41578</v>
      </c>
    </row>
    <row r="385" spans="1:16">
      <c r="A385" s="10">
        <v>2013</v>
      </c>
      <c r="B385" s="11" t="s">
        <v>466</v>
      </c>
      <c r="C385" s="11" t="s">
        <v>467</v>
      </c>
      <c r="D385" s="12">
        <v>1021011</v>
      </c>
      <c r="E385" s="12">
        <v>1</v>
      </c>
      <c r="F385" s="12"/>
      <c r="G385" s="12">
        <v>200</v>
      </c>
      <c r="H385" s="12">
        <v>3</v>
      </c>
      <c r="I385" s="12" t="s">
        <v>10</v>
      </c>
      <c r="J385" s="12" t="s">
        <v>36</v>
      </c>
      <c r="K385" s="12" t="b">
        <v>0</v>
      </c>
      <c r="L385" s="12">
        <v>5</v>
      </c>
      <c r="M385" s="8">
        <v>2018</v>
      </c>
      <c r="N385" s="9">
        <v>1678204</v>
      </c>
      <c r="O385" s="13">
        <v>41578</v>
      </c>
      <c r="P385" s="13">
        <v>41578</v>
      </c>
    </row>
    <row r="386" spans="1:16">
      <c r="A386" s="10">
        <v>2013</v>
      </c>
      <c r="B386" s="11" t="s">
        <v>466</v>
      </c>
      <c r="C386" s="11" t="s">
        <v>467</v>
      </c>
      <c r="D386" s="12">
        <v>1021011</v>
      </c>
      <c r="E386" s="12">
        <v>1</v>
      </c>
      <c r="F386" s="12"/>
      <c r="G386" s="12">
        <v>510</v>
      </c>
      <c r="H386" s="12">
        <v>9.6999999999999993</v>
      </c>
      <c r="I386" s="12"/>
      <c r="J386" s="12" t="s">
        <v>9</v>
      </c>
      <c r="K386" s="12" t="b">
        <v>1</v>
      </c>
      <c r="L386" s="12">
        <v>5</v>
      </c>
      <c r="M386" s="8">
        <v>2018</v>
      </c>
      <c r="N386" s="9">
        <v>0.1331</v>
      </c>
      <c r="O386" s="13">
        <v>41578</v>
      </c>
      <c r="P386" s="13">
        <v>41578</v>
      </c>
    </row>
    <row r="387" spans="1:16">
      <c r="A387" s="10">
        <v>2013</v>
      </c>
      <c r="B387" s="11" t="s">
        <v>466</v>
      </c>
      <c r="C387" s="11" t="s">
        <v>467</v>
      </c>
      <c r="D387" s="12">
        <v>1021011</v>
      </c>
      <c r="E387" s="12">
        <v>1</v>
      </c>
      <c r="F387" s="12"/>
      <c r="G387" s="12">
        <v>510</v>
      </c>
      <c r="H387" s="12">
        <v>9.6999999999999993</v>
      </c>
      <c r="I387" s="12"/>
      <c r="J387" s="12" t="s">
        <v>9</v>
      </c>
      <c r="K387" s="12" t="b">
        <v>1</v>
      </c>
      <c r="L387" s="12">
        <v>1</v>
      </c>
      <c r="M387" s="8">
        <v>2014</v>
      </c>
      <c r="N387" s="9">
        <v>4.3499999999999997E-2</v>
      </c>
      <c r="O387" s="13">
        <v>41578</v>
      </c>
      <c r="P387" s="13">
        <v>41578</v>
      </c>
    </row>
    <row r="388" spans="1:16">
      <c r="A388" s="10">
        <v>2013</v>
      </c>
      <c r="B388" s="11" t="s">
        <v>466</v>
      </c>
      <c r="C388" s="11" t="s">
        <v>467</v>
      </c>
      <c r="D388" s="12">
        <v>1021011</v>
      </c>
      <c r="E388" s="12">
        <v>1</v>
      </c>
      <c r="F388" s="12"/>
      <c r="G388" s="12">
        <v>510</v>
      </c>
      <c r="H388" s="12">
        <v>9.6999999999999993</v>
      </c>
      <c r="I388" s="12"/>
      <c r="J388" s="12" t="s">
        <v>9</v>
      </c>
      <c r="K388" s="12" t="b">
        <v>1</v>
      </c>
      <c r="L388" s="12">
        <v>0</v>
      </c>
      <c r="M388" s="8">
        <v>2013</v>
      </c>
      <c r="N388" s="9">
        <v>5.3699999999999998E-2</v>
      </c>
      <c r="O388" s="13">
        <v>41578</v>
      </c>
      <c r="P388" s="13">
        <v>41578</v>
      </c>
    </row>
    <row r="389" spans="1:16">
      <c r="A389" s="10">
        <v>2013</v>
      </c>
      <c r="B389" s="11" t="s">
        <v>466</v>
      </c>
      <c r="C389" s="11" t="s">
        <v>467</v>
      </c>
      <c r="D389" s="12">
        <v>1021011</v>
      </c>
      <c r="E389" s="12">
        <v>1</v>
      </c>
      <c r="F389" s="12"/>
      <c r="G389" s="12">
        <v>510</v>
      </c>
      <c r="H389" s="12">
        <v>9.6999999999999993</v>
      </c>
      <c r="I389" s="12"/>
      <c r="J389" s="12" t="s">
        <v>9</v>
      </c>
      <c r="K389" s="12" t="b">
        <v>1</v>
      </c>
      <c r="L389" s="12">
        <v>8</v>
      </c>
      <c r="M389" s="8">
        <v>2021</v>
      </c>
      <c r="N389" s="9">
        <v>0.13089999999999999</v>
      </c>
      <c r="O389" s="13">
        <v>41578</v>
      </c>
      <c r="P389" s="13">
        <v>41578</v>
      </c>
    </row>
    <row r="390" spans="1:16">
      <c r="A390" s="10">
        <v>2013</v>
      </c>
      <c r="B390" s="11" t="s">
        <v>466</v>
      </c>
      <c r="C390" s="11" t="s">
        <v>467</v>
      </c>
      <c r="D390" s="12">
        <v>1021011</v>
      </c>
      <c r="E390" s="12">
        <v>1</v>
      </c>
      <c r="F390" s="12"/>
      <c r="G390" s="12">
        <v>510</v>
      </c>
      <c r="H390" s="12">
        <v>9.6999999999999993</v>
      </c>
      <c r="I390" s="12"/>
      <c r="J390" s="12" t="s">
        <v>9</v>
      </c>
      <c r="K390" s="12" t="b">
        <v>1</v>
      </c>
      <c r="L390" s="12">
        <v>3</v>
      </c>
      <c r="M390" s="8">
        <v>2016</v>
      </c>
      <c r="N390" s="9">
        <v>0.1062</v>
      </c>
      <c r="O390" s="13">
        <v>41578</v>
      </c>
      <c r="P390" s="13">
        <v>41578</v>
      </c>
    </row>
    <row r="391" spans="1:16">
      <c r="A391" s="10">
        <v>2013</v>
      </c>
      <c r="B391" s="11" t="s">
        <v>466</v>
      </c>
      <c r="C391" s="11" t="s">
        <v>467</v>
      </c>
      <c r="D391" s="12">
        <v>1021011</v>
      </c>
      <c r="E391" s="12">
        <v>1</v>
      </c>
      <c r="F391" s="12"/>
      <c r="G391" s="12">
        <v>680</v>
      </c>
      <c r="H391" s="12" t="s">
        <v>136</v>
      </c>
      <c r="I391" s="12"/>
      <c r="J391" s="12" t="s">
        <v>137</v>
      </c>
      <c r="K391" s="12" t="b">
        <v>1</v>
      </c>
      <c r="L391" s="12">
        <v>0</v>
      </c>
      <c r="M391" s="8">
        <v>2013</v>
      </c>
      <c r="N391" s="9">
        <v>1776085.14</v>
      </c>
      <c r="O391" s="13">
        <v>41578</v>
      </c>
      <c r="P391" s="13">
        <v>41578</v>
      </c>
    </row>
    <row r="392" spans="1:16">
      <c r="A392" s="10">
        <v>2013</v>
      </c>
      <c r="B392" s="11" t="s">
        <v>466</v>
      </c>
      <c r="C392" s="11" t="s">
        <v>467</v>
      </c>
      <c r="D392" s="12">
        <v>1021011</v>
      </c>
      <c r="E392" s="12">
        <v>1</v>
      </c>
      <c r="F392" s="12"/>
      <c r="G392" s="12">
        <v>680</v>
      </c>
      <c r="H392" s="12" t="s">
        <v>136</v>
      </c>
      <c r="I392" s="12"/>
      <c r="J392" s="12" t="s">
        <v>137</v>
      </c>
      <c r="K392" s="12" t="b">
        <v>1</v>
      </c>
      <c r="L392" s="12">
        <v>1</v>
      </c>
      <c r="M392" s="8">
        <v>2014</v>
      </c>
      <c r="N392" s="9">
        <v>222594.71</v>
      </c>
      <c r="O392" s="13">
        <v>41578</v>
      </c>
      <c r="P392" s="13">
        <v>41578</v>
      </c>
    </row>
    <row r="393" spans="1:16">
      <c r="A393" s="10">
        <v>2013</v>
      </c>
      <c r="B393" s="11" t="s">
        <v>466</v>
      </c>
      <c r="C393" s="11" t="s">
        <v>467</v>
      </c>
      <c r="D393" s="12">
        <v>1021011</v>
      </c>
      <c r="E393" s="12">
        <v>1</v>
      </c>
      <c r="F393" s="12"/>
      <c r="G393" s="12">
        <v>40</v>
      </c>
      <c r="H393" s="12" t="s">
        <v>56</v>
      </c>
      <c r="I393" s="12"/>
      <c r="J393" s="12" t="s">
        <v>57</v>
      </c>
      <c r="K393" s="12" t="b">
        <v>1</v>
      </c>
      <c r="L393" s="12">
        <v>5</v>
      </c>
      <c r="M393" s="8">
        <v>2018</v>
      </c>
      <c r="N393" s="9">
        <v>150000</v>
      </c>
      <c r="O393" s="13">
        <v>41578</v>
      </c>
      <c r="P393" s="13">
        <v>41578</v>
      </c>
    </row>
    <row r="394" spans="1:16">
      <c r="A394" s="10">
        <v>2013</v>
      </c>
      <c r="B394" s="11" t="s">
        <v>466</v>
      </c>
      <c r="C394" s="11" t="s">
        <v>467</v>
      </c>
      <c r="D394" s="12">
        <v>1021011</v>
      </c>
      <c r="E394" s="12">
        <v>1</v>
      </c>
      <c r="F394" s="12"/>
      <c r="G394" s="12">
        <v>40</v>
      </c>
      <c r="H394" s="12" t="s">
        <v>56</v>
      </c>
      <c r="I394" s="12"/>
      <c r="J394" s="12" t="s">
        <v>57</v>
      </c>
      <c r="K394" s="12" t="b">
        <v>1</v>
      </c>
      <c r="L394" s="12">
        <v>3</v>
      </c>
      <c r="M394" s="8">
        <v>2016</v>
      </c>
      <c r="N394" s="9">
        <v>130000</v>
      </c>
      <c r="O394" s="13">
        <v>41578</v>
      </c>
      <c r="P394" s="13">
        <v>41578</v>
      </c>
    </row>
    <row r="395" spans="1:16">
      <c r="A395" s="10">
        <v>2013</v>
      </c>
      <c r="B395" s="11" t="s">
        <v>466</v>
      </c>
      <c r="C395" s="11" t="s">
        <v>467</v>
      </c>
      <c r="D395" s="12">
        <v>1021011</v>
      </c>
      <c r="E395" s="12">
        <v>1</v>
      </c>
      <c r="F395" s="12"/>
      <c r="G395" s="12">
        <v>40</v>
      </c>
      <c r="H395" s="12" t="s">
        <v>56</v>
      </c>
      <c r="I395" s="12"/>
      <c r="J395" s="12" t="s">
        <v>57</v>
      </c>
      <c r="K395" s="12" t="b">
        <v>1</v>
      </c>
      <c r="L395" s="12">
        <v>6</v>
      </c>
      <c r="M395" s="8">
        <v>2019</v>
      </c>
      <c r="N395" s="9">
        <v>160000</v>
      </c>
      <c r="O395" s="13">
        <v>41578</v>
      </c>
      <c r="P395" s="13">
        <v>41578</v>
      </c>
    </row>
    <row r="396" spans="1:16">
      <c r="A396" s="10">
        <v>2013</v>
      </c>
      <c r="B396" s="11" t="s">
        <v>466</v>
      </c>
      <c r="C396" s="11" t="s">
        <v>467</v>
      </c>
      <c r="D396" s="12">
        <v>1021011</v>
      </c>
      <c r="E396" s="12">
        <v>1</v>
      </c>
      <c r="F396" s="12"/>
      <c r="G396" s="12">
        <v>40</v>
      </c>
      <c r="H396" s="12" t="s">
        <v>56</v>
      </c>
      <c r="I396" s="12"/>
      <c r="J396" s="12" t="s">
        <v>57</v>
      </c>
      <c r="K396" s="12" t="b">
        <v>1</v>
      </c>
      <c r="L396" s="12">
        <v>2</v>
      </c>
      <c r="M396" s="8">
        <v>2015</v>
      </c>
      <c r="N396" s="9">
        <v>125000</v>
      </c>
      <c r="O396" s="13">
        <v>41578</v>
      </c>
      <c r="P396" s="13">
        <v>41578</v>
      </c>
    </row>
    <row r="397" spans="1:16">
      <c r="A397" s="10">
        <v>2013</v>
      </c>
      <c r="B397" s="11" t="s">
        <v>466</v>
      </c>
      <c r="C397" s="11" t="s">
        <v>467</v>
      </c>
      <c r="D397" s="12">
        <v>1021011</v>
      </c>
      <c r="E397" s="12">
        <v>1</v>
      </c>
      <c r="F397" s="12"/>
      <c r="G397" s="12">
        <v>40</v>
      </c>
      <c r="H397" s="12" t="s">
        <v>56</v>
      </c>
      <c r="I397" s="12"/>
      <c r="J397" s="12" t="s">
        <v>57</v>
      </c>
      <c r="K397" s="12" t="b">
        <v>1</v>
      </c>
      <c r="L397" s="12">
        <v>9</v>
      </c>
      <c r="M397" s="8">
        <v>2022</v>
      </c>
      <c r="N397" s="9">
        <v>190000</v>
      </c>
      <c r="O397" s="13">
        <v>41578</v>
      </c>
      <c r="P397" s="13">
        <v>41578</v>
      </c>
    </row>
    <row r="398" spans="1:16">
      <c r="A398" s="10">
        <v>2013</v>
      </c>
      <c r="B398" s="11" t="s">
        <v>466</v>
      </c>
      <c r="C398" s="11" t="s">
        <v>467</v>
      </c>
      <c r="D398" s="12">
        <v>1021011</v>
      </c>
      <c r="E398" s="12">
        <v>1</v>
      </c>
      <c r="F398" s="12"/>
      <c r="G398" s="12">
        <v>40</v>
      </c>
      <c r="H398" s="12" t="s">
        <v>56</v>
      </c>
      <c r="I398" s="12"/>
      <c r="J398" s="12" t="s">
        <v>57</v>
      </c>
      <c r="K398" s="12" t="b">
        <v>1</v>
      </c>
      <c r="L398" s="12">
        <v>1</v>
      </c>
      <c r="M398" s="8">
        <v>2014</v>
      </c>
      <c r="N398" s="9">
        <v>120000</v>
      </c>
      <c r="O398" s="13">
        <v>41578</v>
      </c>
      <c r="P398" s="13">
        <v>41578</v>
      </c>
    </row>
    <row r="399" spans="1:16">
      <c r="A399" s="10">
        <v>2013</v>
      </c>
      <c r="B399" s="11" t="s">
        <v>466</v>
      </c>
      <c r="C399" s="11" t="s">
        <v>467</v>
      </c>
      <c r="D399" s="12">
        <v>1021011</v>
      </c>
      <c r="E399" s="12">
        <v>1</v>
      </c>
      <c r="F399" s="12"/>
      <c r="G399" s="12">
        <v>40</v>
      </c>
      <c r="H399" s="12" t="s">
        <v>56</v>
      </c>
      <c r="I399" s="12"/>
      <c r="J399" s="12" t="s">
        <v>57</v>
      </c>
      <c r="K399" s="12" t="b">
        <v>1</v>
      </c>
      <c r="L399" s="12">
        <v>10</v>
      </c>
      <c r="M399" s="8">
        <v>2023</v>
      </c>
      <c r="N399" s="9">
        <v>200000</v>
      </c>
      <c r="O399" s="13">
        <v>41578</v>
      </c>
      <c r="P399" s="13">
        <v>41578</v>
      </c>
    </row>
    <row r="400" spans="1:16">
      <c r="A400" s="10">
        <v>2013</v>
      </c>
      <c r="B400" s="11" t="s">
        <v>466</v>
      </c>
      <c r="C400" s="11" t="s">
        <v>467</v>
      </c>
      <c r="D400" s="12">
        <v>1021011</v>
      </c>
      <c r="E400" s="12">
        <v>1</v>
      </c>
      <c r="F400" s="12"/>
      <c r="G400" s="12">
        <v>40</v>
      </c>
      <c r="H400" s="12" t="s">
        <v>56</v>
      </c>
      <c r="I400" s="12"/>
      <c r="J400" s="12" t="s">
        <v>57</v>
      </c>
      <c r="K400" s="12" t="b">
        <v>1</v>
      </c>
      <c r="L400" s="12">
        <v>7</v>
      </c>
      <c r="M400" s="8">
        <v>2020</v>
      </c>
      <c r="N400" s="9">
        <v>170000</v>
      </c>
      <c r="O400" s="13">
        <v>41578</v>
      </c>
      <c r="P400" s="13">
        <v>41578</v>
      </c>
    </row>
    <row r="401" spans="1:16">
      <c r="A401" s="10">
        <v>2013</v>
      </c>
      <c r="B401" s="11" t="s">
        <v>466</v>
      </c>
      <c r="C401" s="11" t="s">
        <v>467</v>
      </c>
      <c r="D401" s="12">
        <v>1021011</v>
      </c>
      <c r="E401" s="12">
        <v>1</v>
      </c>
      <c r="F401" s="12"/>
      <c r="G401" s="12">
        <v>40</v>
      </c>
      <c r="H401" s="12" t="s">
        <v>56</v>
      </c>
      <c r="I401" s="12"/>
      <c r="J401" s="12" t="s">
        <v>57</v>
      </c>
      <c r="K401" s="12" t="b">
        <v>1</v>
      </c>
      <c r="L401" s="12">
        <v>0</v>
      </c>
      <c r="M401" s="8">
        <v>2013</v>
      </c>
      <c r="N401" s="9">
        <v>120000</v>
      </c>
      <c r="O401" s="13">
        <v>41578</v>
      </c>
      <c r="P401" s="13">
        <v>41578</v>
      </c>
    </row>
    <row r="402" spans="1:16">
      <c r="A402" s="10">
        <v>2013</v>
      </c>
      <c r="B402" s="11" t="s">
        <v>466</v>
      </c>
      <c r="C402" s="11" t="s">
        <v>467</v>
      </c>
      <c r="D402" s="12">
        <v>1021011</v>
      </c>
      <c r="E402" s="12">
        <v>1</v>
      </c>
      <c r="F402" s="12"/>
      <c r="G402" s="12">
        <v>40</v>
      </c>
      <c r="H402" s="12" t="s">
        <v>56</v>
      </c>
      <c r="I402" s="12"/>
      <c r="J402" s="12" t="s">
        <v>57</v>
      </c>
      <c r="K402" s="12" t="b">
        <v>1</v>
      </c>
      <c r="L402" s="12">
        <v>4</v>
      </c>
      <c r="M402" s="8">
        <v>2017</v>
      </c>
      <c r="N402" s="9">
        <v>140000</v>
      </c>
      <c r="O402" s="13">
        <v>41578</v>
      </c>
      <c r="P402" s="13">
        <v>41578</v>
      </c>
    </row>
    <row r="403" spans="1:16">
      <c r="A403" s="10">
        <v>2013</v>
      </c>
      <c r="B403" s="11" t="s">
        <v>466</v>
      </c>
      <c r="C403" s="11" t="s">
        <v>467</v>
      </c>
      <c r="D403" s="12">
        <v>1021011</v>
      </c>
      <c r="E403" s="12">
        <v>1</v>
      </c>
      <c r="F403" s="12"/>
      <c r="G403" s="12">
        <v>40</v>
      </c>
      <c r="H403" s="12" t="s">
        <v>56</v>
      </c>
      <c r="I403" s="12"/>
      <c r="J403" s="12" t="s">
        <v>57</v>
      </c>
      <c r="K403" s="12" t="b">
        <v>1</v>
      </c>
      <c r="L403" s="12">
        <v>8</v>
      </c>
      <c r="M403" s="8">
        <v>2021</v>
      </c>
      <c r="N403" s="9">
        <v>180000</v>
      </c>
      <c r="O403" s="13">
        <v>41578</v>
      </c>
      <c r="P403" s="13">
        <v>41578</v>
      </c>
    </row>
    <row r="404" spans="1:16">
      <c r="A404" s="10">
        <v>2013</v>
      </c>
      <c r="B404" s="11" t="s">
        <v>466</v>
      </c>
      <c r="C404" s="11" t="s">
        <v>467</v>
      </c>
      <c r="D404" s="12">
        <v>1021011</v>
      </c>
      <c r="E404" s="12">
        <v>1</v>
      </c>
      <c r="F404" s="12"/>
      <c r="G404" s="12">
        <v>100</v>
      </c>
      <c r="H404" s="12" t="s">
        <v>67</v>
      </c>
      <c r="I404" s="12"/>
      <c r="J404" s="12" t="s">
        <v>68</v>
      </c>
      <c r="K404" s="12" t="b">
        <v>1</v>
      </c>
      <c r="L404" s="12">
        <v>0</v>
      </c>
      <c r="M404" s="8">
        <v>2013</v>
      </c>
      <c r="N404" s="9">
        <v>125000</v>
      </c>
      <c r="O404" s="13">
        <v>41578</v>
      </c>
      <c r="P404" s="13">
        <v>41578</v>
      </c>
    </row>
    <row r="405" spans="1:16">
      <c r="A405" s="10">
        <v>2013</v>
      </c>
      <c r="B405" s="11" t="s">
        <v>466</v>
      </c>
      <c r="C405" s="11" t="s">
        <v>467</v>
      </c>
      <c r="D405" s="12">
        <v>1021011</v>
      </c>
      <c r="E405" s="12">
        <v>1</v>
      </c>
      <c r="F405" s="12"/>
      <c r="G405" s="12">
        <v>200</v>
      </c>
      <c r="H405" s="12">
        <v>3</v>
      </c>
      <c r="I405" s="12" t="s">
        <v>10</v>
      </c>
      <c r="J405" s="12" t="s">
        <v>36</v>
      </c>
      <c r="K405" s="12" t="b">
        <v>0</v>
      </c>
      <c r="L405" s="12">
        <v>6</v>
      </c>
      <c r="M405" s="8">
        <v>2019</v>
      </c>
      <c r="N405" s="9">
        <v>1610004</v>
      </c>
      <c r="O405" s="13">
        <v>41578</v>
      </c>
      <c r="P405" s="13">
        <v>41578</v>
      </c>
    </row>
    <row r="406" spans="1:16">
      <c r="A406" s="10">
        <v>2013</v>
      </c>
      <c r="B406" s="11" t="s">
        <v>466</v>
      </c>
      <c r="C406" s="11" t="s">
        <v>467</v>
      </c>
      <c r="D406" s="12">
        <v>1021011</v>
      </c>
      <c r="E406" s="12">
        <v>1</v>
      </c>
      <c r="F406" s="12"/>
      <c r="G406" s="12">
        <v>200</v>
      </c>
      <c r="H406" s="12">
        <v>3</v>
      </c>
      <c r="I406" s="12" t="s">
        <v>10</v>
      </c>
      <c r="J406" s="12" t="s">
        <v>36</v>
      </c>
      <c r="K406" s="12" t="b">
        <v>0</v>
      </c>
      <c r="L406" s="12">
        <v>8</v>
      </c>
      <c r="M406" s="8">
        <v>2021</v>
      </c>
      <c r="N406" s="9">
        <v>1610004</v>
      </c>
      <c r="O406" s="13">
        <v>41578</v>
      </c>
      <c r="P406" s="13">
        <v>41578</v>
      </c>
    </row>
    <row r="407" spans="1:16">
      <c r="A407" s="10">
        <v>2013</v>
      </c>
      <c r="B407" s="11" t="s">
        <v>466</v>
      </c>
      <c r="C407" s="11" t="s">
        <v>467</v>
      </c>
      <c r="D407" s="12">
        <v>1021011</v>
      </c>
      <c r="E407" s="12">
        <v>1</v>
      </c>
      <c r="F407" s="12"/>
      <c r="G407" s="12">
        <v>200</v>
      </c>
      <c r="H407" s="12">
        <v>3</v>
      </c>
      <c r="I407" s="12" t="s">
        <v>10</v>
      </c>
      <c r="J407" s="12" t="s">
        <v>36</v>
      </c>
      <c r="K407" s="12" t="b">
        <v>0</v>
      </c>
      <c r="L407" s="12">
        <v>2</v>
      </c>
      <c r="M407" s="8">
        <v>2015</v>
      </c>
      <c r="N407" s="9">
        <v>1215692</v>
      </c>
      <c r="O407" s="13">
        <v>41578</v>
      </c>
      <c r="P407" s="13">
        <v>41578</v>
      </c>
    </row>
    <row r="408" spans="1:16">
      <c r="A408" s="10">
        <v>2013</v>
      </c>
      <c r="B408" s="11" t="s">
        <v>466</v>
      </c>
      <c r="C408" s="11" t="s">
        <v>467</v>
      </c>
      <c r="D408" s="12">
        <v>1021011</v>
      </c>
      <c r="E408" s="12">
        <v>1</v>
      </c>
      <c r="F408" s="12"/>
      <c r="G408" s="12">
        <v>200</v>
      </c>
      <c r="H408" s="12">
        <v>3</v>
      </c>
      <c r="I408" s="12" t="s">
        <v>10</v>
      </c>
      <c r="J408" s="12" t="s">
        <v>36</v>
      </c>
      <c r="K408" s="12" t="b">
        <v>0</v>
      </c>
      <c r="L408" s="12">
        <v>1</v>
      </c>
      <c r="M408" s="8">
        <v>2014</v>
      </c>
      <c r="N408" s="9">
        <v>938060.16</v>
      </c>
      <c r="O408" s="13">
        <v>41578</v>
      </c>
      <c r="P408" s="13">
        <v>41578</v>
      </c>
    </row>
    <row r="409" spans="1:16">
      <c r="A409" s="10">
        <v>2013</v>
      </c>
      <c r="B409" s="11" t="s">
        <v>466</v>
      </c>
      <c r="C409" s="11" t="s">
        <v>467</v>
      </c>
      <c r="D409" s="12">
        <v>1021011</v>
      </c>
      <c r="E409" s="12">
        <v>1</v>
      </c>
      <c r="F409" s="12"/>
      <c r="G409" s="12">
        <v>200</v>
      </c>
      <c r="H409" s="12">
        <v>3</v>
      </c>
      <c r="I409" s="12" t="s">
        <v>10</v>
      </c>
      <c r="J409" s="12" t="s">
        <v>36</v>
      </c>
      <c r="K409" s="12" t="b">
        <v>0</v>
      </c>
      <c r="L409" s="12">
        <v>0</v>
      </c>
      <c r="M409" s="8">
        <v>2013</v>
      </c>
      <c r="N409" s="9">
        <v>-2607411.2200000002</v>
      </c>
      <c r="O409" s="13">
        <v>41578</v>
      </c>
      <c r="P409" s="13">
        <v>41578</v>
      </c>
    </row>
    <row r="410" spans="1:16">
      <c r="A410" s="10">
        <v>2013</v>
      </c>
      <c r="B410" s="11" t="s">
        <v>466</v>
      </c>
      <c r="C410" s="11" t="s">
        <v>467</v>
      </c>
      <c r="D410" s="12">
        <v>1021011</v>
      </c>
      <c r="E410" s="12">
        <v>1</v>
      </c>
      <c r="F410" s="12"/>
      <c r="G410" s="12">
        <v>200</v>
      </c>
      <c r="H410" s="12">
        <v>3</v>
      </c>
      <c r="I410" s="12" t="s">
        <v>10</v>
      </c>
      <c r="J410" s="12" t="s">
        <v>36</v>
      </c>
      <c r="K410" s="12" t="b">
        <v>0</v>
      </c>
      <c r="L410" s="12">
        <v>10</v>
      </c>
      <c r="M410" s="8">
        <v>2023</v>
      </c>
      <c r="N410" s="9">
        <v>1710000</v>
      </c>
      <c r="O410" s="13">
        <v>41578</v>
      </c>
      <c r="P410" s="13">
        <v>41578</v>
      </c>
    </row>
    <row r="411" spans="1:16">
      <c r="A411" s="10">
        <v>2013</v>
      </c>
      <c r="B411" s="11" t="s">
        <v>466</v>
      </c>
      <c r="C411" s="11" t="s">
        <v>467</v>
      </c>
      <c r="D411" s="12">
        <v>1021011</v>
      </c>
      <c r="E411" s="12">
        <v>1</v>
      </c>
      <c r="F411" s="12"/>
      <c r="G411" s="12">
        <v>200</v>
      </c>
      <c r="H411" s="12">
        <v>3</v>
      </c>
      <c r="I411" s="12" t="s">
        <v>10</v>
      </c>
      <c r="J411" s="12" t="s">
        <v>36</v>
      </c>
      <c r="K411" s="12" t="b">
        <v>0</v>
      </c>
      <c r="L411" s="12">
        <v>9</v>
      </c>
      <c r="M411" s="8">
        <v>2022</v>
      </c>
      <c r="N411" s="9">
        <v>1650004</v>
      </c>
      <c r="O411" s="13">
        <v>41578</v>
      </c>
      <c r="P411" s="13">
        <v>41578</v>
      </c>
    </row>
    <row r="412" spans="1:16">
      <c r="A412" s="10">
        <v>2013</v>
      </c>
      <c r="B412" s="11" t="s">
        <v>466</v>
      </c>
      <c r="C412" s="11" t="s">
        <v>467</v>
      </c>
      <c r="D412" s="12">
        <v>1021011</v>
      </c>
      <c r="E412" s="12">
        <v>1</v>
      </c>
      <c r="F412" s="12"/>
      <c r="G412" s="12">
        <v>200</v>
      </c>
      <c r="H412" s="12">
        <v>3</v>
      </c>
      <c r="I412" s="12" t="s">
        <v>10</v>
      </c>
      <c r="J412" s="12" t="s">
        <v>36</v>
      </c>
      <c r="K412" s="12" t="b">
        <v>0</v>
      </c>
      <c r="L412" s="12">
        <v>4</v>
      </c>
      <c r="M412" s="8">
        <v>2017</v>
      </c>
      <c r="N412" s="9">
        <v>1915700</v>
      </c>
      <c r="O412" s="13">
        <v>41578</v>
      </c>
      <c r="P412" s="13">
        <v>41578</v>
      </c>
    </row>
    <row r="413" spans="1:16">
      <c r="A413" s="10">
        <v>2013</v>
      </c>
      <c r="B413" s="11" t="s">
        <v>466</v>
      </c>
      <c r="C413" s="11" t="s">
        <v>467</v>
      </c>
      <c r="D413" s="12">
        <v>1021011</v>
      </c>
      <c r="E413" s="12">
        <v>1</v>
      </c>
      <c r="F413" s="12"/>
      <c r="G413" s="12">
        <v>640</v>
      </c>
      <c r="H413" s="12">
        <v>11.5</v>
      </c>
      <c r="I413" s="12"/>
      <c r="J413" s="12" t="s">
        <v>132</v>
      </c>
      <c r="K413" s="12" t="b">
        <v>1</v>
      </c>
      <c r="L413" s="12">
        <v>0</v>
      </c>
      <c r="M413" s="8">
        <v>2013</v>
      </c>
      <c r="N413" s="9">
        <v>2967740.56</v>
      </c>
      <c r="O413" s="13">
        <v>41578</v>
      </c>
      <c r="P413" s="13">
        <v>41578</v>
      </c>
    </row>
    <row r="414" spans="1:16">
      <c r="A414" s="10">
        <v>2013</v>
      </c>
      <c r="B414" s="11" t="s">
        <v>466</v>
      </c>
      <c r="C414" s="11" t="s">
        <v>467</v>
      </c>
      <c r="D414" s="12">
        <v>1021011</v>
      </c>
      <c r="E414" s="12">
        <v>1</v>
      </c>
      <c r="F414" s="12"/>
      <c r="G414" s="12">
        <v>650</v>
      </c>
      <c r="H414" s="12">
        <v>11.6</v>
      </c>
      <c r="I414" s="12"/>
      <c r="J414" s="12" t="s">
        <v>133</v>
      </c>
      <c r="K414" s="12" t="b">
        <v>1</v>
      </c>
      <c r="L414" s="12">
        <v>0</v>
      </c>
      <c r="M414" s="8">
        <v>2013</v>
      </c>
      <c r="N414" s="9">
        <v>380000</v>
      </c>
      <c r="O414" s="13">
        <v>41578</v>
      </c>
      <c r="P414" s="13">
        <v>41578</v>
      </c>
    </row>
    <row r="415" spans="1:16">
      <c r="A415" s="10">
        <v>2013</v>
      </c>
      <c r="B415" s="11" t="s">
        <v>466</v>
      </c>
      <c r="C415" s="11" t="s">
        <v>467</v>
      </c>
      <c r="D415" s="12">
        <v>1021011</v>
      </c>
      <c r="E415" s="12">
        <v>1</v>
      </c>
      <c r="F415" s="12"/>
      <c r="G415" s="12">
        <v>430</v>
      </c>
      <c r="H415" s="12">
        <v>8.1999999999999993</v>
      </c>
      <c r="I415" s="12" t="s">
        <v>11</v>
      </c>
      <c r="J415" s="12" t="s">
        <v>107</v>
      </c>
      <c r="K415" s="12" t="b">
        <v>0</v>
      </c>
      <c r="L415" s="12">
        <v>5</v>
      </c>
      <c r="M415" s="8">
        <v>2018</v>
      </c>
      <c r="N415" s="9">
        <v>4270000</v>
      </c>
      <c r="O415" s="13">
        <v>41578</v>
      </c>
      <c r="P415" s="13">
        <v>41578</v>
      </c>
    </row>
    <row r="416" spans="1:16">
      <c r="A416" s="10">
        <v>2013</v>
      </c>
      <c r="B416" s="11" t="s">
        <v>466</v>
      </c>
      <c r="C416" s="11" t="s">
        <v>467</v>
      </c>
      <c r="D416" s="12">
        <v>1021011</v>
      </c>
      <c r="E416" s="12">
        <v>1</v>
      </c>
      <c r="F416" s="12"/>
      <c r="G416" s="12">
        <v>430</v>
      </c>
      <c r="H416" s="12">
        <v>8.1999999999999993</v>
      </c>
      <c r="I416" s="12" t="s">
        <v>11</v>
      </c>
      <c r="J416" s="12" t="s">
        <v>107</v>
      </c>
      <c r="K416" s="12" t="b">
        <v>0</v>
      </c>
      <c r="L416" s="12">
        <v>7</v>
      </c>
      <c r="M416" s="8">
        <v>2020</v>
      </c>
      <c r="N416" s="9">
        <v>4360000</v>
      </c>
      <c r="O416" s="13">
        <v>41578</v>
      </c>
      <c r="P416" s="13">
        <v>41578</v>
      </c>
    </row>
    <row r="417" spans="1:16">
      <c r="A417" s="10">
        <v>2013</v>
      </c>
      <c r="B417" s="11" t="s">
        <v>466</v>
      </c>
      <c r="C417" s="11" t="s">
        <v>467</v>
      </c>
      <c r="D417" s="12">
        <v>1021011</v>
      </c>
      <c r="E417" s="12">
        <v>1</v>
      </c>
      <c r="F417" s="12"/>
      <c r="G417" s="12">
        <v>430</v>
      </c>
      <c r="H417" s="12">
        <v>8.1999999999999993</v>
      </c>
      <c r="I417" s="12" t="s">
        <v>11</v>
      </c>
      <c r="J417" s="12" t="s">
        <v>107</v>
      </c>
      <c r="K417" s="12" t="b">
        <v>0</v>
      </c>
      <c r="L417" s="12">
        <v>0</v>
      </c>
      <c r="M417" s="8">
        <v>2013</v>
      </c>
      <c r="N417" s="9">
        <v>3734372.78</v>
      </c>
      <c r="O417" s="13">
        <v>41578</v>
      </c>
      <c r="P417" s="13">
        <v>41578</v>
      </c>
    </row>
    <row r="418" spans="1:16">
      <c r="A418" s="10">
        <v>2013</v>
      </c>
      <c r="B418" s="11" t="s">
        <v>466</v>
      </c>
      <c r="C418" s="11" t="s">
        <v>467</v>
      </c>
      <c r="D418" s="12">
        <v>1021011</v>
      </c>
      <c r="E418" s="12">
        <v>1</v>
      </c>
      <c r="F418" s="12"/>
      <c r="G418" s="12">
        <v>430</v>
      </c>
      <c r="H418" s="12">
        <v>8.1999999999999993</v>
      </c>
      <c r="I418" s="12" t="s">
        <v>11</v>
      </c>
      <c r="J418" s="12" t="s">
        <v>107</v>
      </c>
      <c r="K418" s="12" t="b">
        <v>0</v>
      </c>
      <c r="L418" s="12">
        <v>8</v>
      </c>
      <c r="M418" s="8">
        <v>2021</v>
      </c>
      <c r="N418" s="9">
        <v>4390000</v>
      </c>
      <c r="O418" s="13">
        <v>41578</v>
      </c>
      <c r="P418" s="13">
        <v>41578</v>
      </c>
    </row>
    <row r="419" spans="1:16">
      <c r="A419" s="10">
        <v>2013</v>
      </c>
      <c r="B419" s="11" t="s">
        <v>466</v>
      </c>
      <c r="C419" s="11" t="s">
        <v>467</v>
      </c>
      <c r="D419" s="12">
        <v>1021011</v>
      </c>
      <c r="E419" s="12">
        <v>1</v>
      </c>
      <c r="F419" s="12"/>
      <c r="G419" s="12">
        <v>430</v>
      </c>
      <c r="H419" s="12">
        <v>8.1999999999999993</v>
      </c>
      <c r="I419" s="12" t="s">
        <v>11</v>
      </c>
      <c r="J419" s="12" t="s">
        <v>107</v>
      </c>
      <c r="K419" s="12" t="b">
        <v>0</v>
      </c>
      <c r="L419" s="12">
        <v>6</v>
      </c>
      <c r="M419" s="8">
        <v>2019</v>
      </c>
      <c r="N419" s="9">
        <v>4330000</v>
      </c>
      <c r="O419" s="13">
        <v>41578</v>
      </c>
      <c r="P419" s="13">
        <v>41578</v>
      </c>
    </row>
    <row r="420" spans="1:16">
      <c r="A420" s="10">
        <v>2013</v>
      </c>
      <c r="B420" s="11" t="s">
        <v>466</v>
      </c>
      <c r="C420" s="11" t="s">
        <v>467</v>
      </c>
      <c r="D420" s="12">
        <v>1021011</v>
      </c>
      <c r="E420" s="12">
        <v>1</v>
      </c>
      <c r="F420" s="12"/>
      <c r="G420" s="12">
        <v>430</v>
      </c>
      <c r="H420" s="12">
        <v>8.1999999999999993</v>
      </c>
      <c r="I420" s="12" t="s">
        <v>11</v>
      </c>
      <c r="J420" s="12" t="s">
        <v>107</v>
      </c>
      <c r="K420" s="12" t="b">
        <v>0</v>
      </c>
      <c r="L420" s="12">
        <v>9</v>
      </c>
      <c r="M420" s="8">
        <v>2022</v>
      </c>
      <c r="N420" s="9">
        <v>4440000</v>
      </c>
      <c r="O420" s="13">
        <v>41578</v>
      </c>
      <c r="P420" s="13">
        <v>41578</v>
      </c>
    </row>
    <row r="421" spans="1:16">
      <c r="A421" s="10">
        <v>2013</v>
      </c>
      <c r="B421" s="11" t="s">
        <v>466</v>
      </c>
      <c r="C421" s="11" t="s">
        <v>467</v>
      </c>
      <c r="D421" s="12">
        <v>1021011</v>
      </c>
      <c r="E421" s="12">
        <v>1</v>
      </c>
      <c r="F421" s="12"/>
      <c r="G421" s="12">
        <v>430</v>
      </c>
      <c r="H421" s="12">
        <v>8.1999999999999993</v>
      </c>
      <c r="I421" s="12" t="s">
        <v>11</v>
      </c>
      <c r="J421" s="12" t="s">
        <v>107</v>
      </c>
      <c r="K421" s="12" t="b">
        <v>0</v>
      </c>
      <c r="L421" s="12">
        <v>2</v>
      </c>
      <c r="M421" s="8">
        <v>2015</v>
      </c>
      <c r="N421" s="9">
        <v>4350000</v>
      </c>
      <c r="O421" s="13">
        <v>41578</v>
      </c>
      <c r="P421" s="13">
        <v>41578</v>
      </c>
    </row>
    <row r="422" spans="1:16">
      <c r="A422" s="10">
        <v>2013</v>
      </c>
      <c r="B422" s="11" t="s">
        <v>466</v>
      </c>
      <c r="C422" s="11" t="s">
        <v>467</v>
      </c>
      <c r="D422" s="12">
        <v>1021011</v>
      </c>
      <c r="E422" s="12">
        <v>1</v>
      </c>
      <c r="F422" s="12"/>
      <c r="G422" s="12">
        <v>430</v>
      </c>
      <c r="H422" s="12">
        <v>8.1999999999999993</v>
      </c>
      <c r="I422" s="12" t="s">
        <v>11</v>
      </c>
      <c r="J422" s="12" t="s">
        <v>107</v>
      </c>
      <c r="K422" s="12" t="b">
        <v>0</v>
      </c>
      <c r="L422" s="12">
        <v>10</v>
      </c>
      <c r="M422" s="8">
        <v>2023</v>
      </c>
      <c r="N422" s="9">
        <v>4440000</v>
      </c>
      <c r="O422" s="13">
        <v>41578</v>
      </c>
      <c r="P422" s="13">
        <v>41578</v>
      </c>
    </row>
    <row r="423" spans="1:16">
      <c r="A423" s="10">
        <v>2013</v>
      </c>
      <c r="B423" s="11" t="s">
        <v>466</v>
      </c>
      <c r="C423" s="11" t="s">
        <v>467</v>
      </c>
      <c r="D423" s="12">
        <v>1021011</v>
      </c>
      <c r="E423" s="12">
        <v>1</v>
      </c>
      <c r="F423" s="12"/>
      <c r="G423" s="12">
        <v>430</v>
      </c>
      <c r="H423" s="12">
        <v>8.1999999999999993</v>
      </c>
      <c r="I423" s="12" t="s">
        <v>11</v>
      </c>
      <c r="J423" s="12" t="s">
        <v>107</v>
      </c>
      <c r="K423" s="12" t="b">
        <v>0</v>
      </c>
      <c r="L423" s="12">
        <v>4</v>
      </c>
      <c r="M423" s="8">
        <v>2017</v>
      </c>
      <c r="N423" s="9">
        <v>4210000</v>
      </c>
      <c r="O423" s="13">
        <v>41578</v>
      </c>
      <c r="P423" s="13">
        <v>41578</v>
      </c>
    </row>
    <row r="424" spans="1:16">
      <c r="A424" s="10">
        <v>2013</v>
      </c>
      <c r="B424" s="11" t="s">
        <v>466</v>
      </c>
      <c r="C424" s="11" t="s">
        <v>467</v>
      </c>
      <c r="D424" s="12">
        <v>1021011</v>
      </c>
      <c r="E424" s="12">
        <v>1</v>
      </c>
      <c r="F424" s="12"/>
      <c r="G424" s="12">
        <v>430</v>
      </c>
      <c r="H424" s="12">
        <v>8.1999999999999993</v>
      </c>
      <c r="I424" s="12" t="s">
        <v>11</v>
      </c>
      <c r="J424" s="12" t="s">
        <v>107</v>
      </c>
      <c r="K424" s="12" t="b">
        <v>0</v>
      </c>
      <c r="L424" s="12">
        <v>1</v>
      </c>
      <c r="M424" s="8">
        <v>2014</v>
      </c>
      <c r="N424" s="9">
        <v>4621065.5599999996</v>
      </c>
      <c r="O424" s="13">
        <v>41578</v>
      </c>
      <c r="P424" s="13">
        <v>41578</v>
      </c>
    </row>
    <row r="425" spans="1:16">
      <c r="A425" s="10">
        <v>2013</v>
      </c>
      <c r="B425" s="11" t="s">
        <v>466</v>
      </c>
      <c r="C425" s="11" t="s">
        <v>467</v>
      </c>
      <c r="D425" s="12">
        <v>1021011</v>
      </c>
      <c r="E425" s="12">
        <v>1</v>
      </c>
      <c r="F425" s="12"/>
      <c r="G425" s="12">
        <v>430</v>
      </c>
      <c r="H425" s="12">
        <v>8.1999999999999993</v>
      </c>
      <c r="I425" s="12" t="s">
        <v>11</v>
      </c>
      <c r="J425" s="12" t="s">
        <v>107</v>
      </c>
      <c r="K425" s="12" t="b">
        <v>0</v>
      </c>
      <c r="L425" s="12">
        <v>3</v>
      </c>
      <c r="M425" s="8">
        <v>2016</v>
      </c>
      <c r="N425" s="9">
        <v>4080000</v>
      </c>
      <c r="O425" s="13">
        <v>41578</v>
      </c>
      <c r="P425" s="13">
        <v>41578</v>
      </c>
    </row>
    <row r="426" spans="1:16">
      <c r="A426" s="10">
        <v>2013</v>
      </c>
      <c r="B426" s="11" t="s">
        <v>466</v>
      </c>
      <c r="C426" s="11" t="s">
        <v>467</v>
      </c>
      <c r="D426" s="12">
        <v>1021011</v>
      </c>
      <c r="E426" s="12">
        <v>1</v>
      </c>
      <c r="F426" s="12"/>
      <c r="G426" s="12">
        <v>30</v>
      </c>
      <c r="H426" s="12" t="s">
        <v>54</v>
      </c>
      <c r="I426" s="12"/>
      <c r="J426" s="12" t="s">
        <v>55</v>
      </c>
      <c r="K426" s="12" t="b">
        <v>1</v>
      </c>
      <c r="L426" s="12">
        <v>4</v>
      </c>
      <c r="M426" s="8">
        <v>2017</v>
      </c>
      <c r="N426" s="9">
        <v>7900000</v>
      </c>
      <c r="O426" s="13">
        <v>41578</v>
      </c>
      <c r="P426" s="13">
        <v>41578</v>
      </c>
    </row>
    <row r="427" spans="1:16">
      <c r="A427" s="10">
        <v>2013</v>
      </c>
      <c r="B427" s="11" t="s">
        <v>466</v>
      </c>
      <c r="C427" s="11" t="s">
        <v>467</v>
      </c>
      <c r="D427" s="12">
        <v>1021011</v>
      </c>
      <c r="E427" s="12">
        <v>1</v>
      </c>
      <c r="F427" s="12"/>
      <c r="G427" s="12">
        <v>30</v>
      </c>
      <c r="H427" s="12" t="s">
        <v>54</v>
      </c>
      <c r="I427" s="12"/>
      <c r="J427" s="12" t="s">
        <v>55</v>
      </c>
      <c r="K427" s="12" t="b">
        <v>1</v>
      </c>
      <c r="L427" s="12">
        <v>3</v>
      </c>
      <c r="M427" s="8">
        <v>2016</v>
      </c>
      <c r="N427" s="9">
        <v>7600000</v>
      </c>
      <c r="O427" s="13">
        <v>41578</v>
      </c>
      <c r="P427" s="13">
        <v>41578</v>
      </c>
    </row>
    <row r="428" spans="1:16">
      <c r="A428" s="10">
        <v>2013</v>
      </c>
      <c r="B428" s="11" t="s">
        <v>466</v>
      </c>
      <c r="C428" s="11" t="s">
        <v>467</v>
      </c>
      <c r="D428" s="12">
        <v>1021011</v>
      </c>
      <c r="E428" s="12">
        <v>1</v>
      </c>
      <c r="F428" s="12"/>
      <c r="G428" s="12">
        <v>30</v>
      </c>
      <c r="H428" s="12" t="s">
        <v>54</v>
      </c>
      <c r="I428" s="12"/>
      <c r="J428" s="12" t="s">
        <v>55</v>
      </c>
      <c r="K428" s="12" t="b">
        <v>1</v>
      </c>
      <c r="L428" s="12">
        <v>8</v>
      </c>
      <c r="M428" s="8">
        <v>2021</v>
      </c>
      <c r="N428" s="9">
        <v>9100000</v>
      </c>
      <c r="O428" s="13">
        <v>41578</v>
      </c>
      <c r="P428" s="13">
        <v>41578</v>
      </c>
    </row>
    <row r="429" spans="1:16">
      <c r="A429" s="10">
        <v>2013</v>
      </c>
      <c r="B429" s="11" t="s">
        <v>466</v>
      </c>
      <c r="C429" s="11" t="s">
        <v>467</v>
      </c>
      <c r="D429" s="12">
        <v>1021011</v>
      </c>
      <c r="E429" s="12">
        <v>1</v>
      </c>
      <c r="F429" s="12"/>
      <c r="G429" s="12">
        <v>30</v>
      </c>
      <c r="H429" s="12" t="s">
        <v>54</v>
      </c>
      <c r="I429" s="12"/>
      <c r="J429" s="12" t="s">
        <v>55</v>
      </c>
      <c r="K429" s="12" t="b">
        <v>1</v>
      </c>
      <c r="L429" s="12">
        <v>6</v>
      </c>
      <c r="M429" s="8">
        <v>2019</v>
      </c>
      <c r="N429" s="9">
        <v>8500000</v>
      </c>
      <c r="O429" s="13">
        <v>41578</v>
      </c>
      <c r="P429" s="13">
        <v>41578</v>
      </c>
    </row>
    <row r="430" spans="1:16">
      <c r="A430" s="10">
        <v>2013</v>
      </c>
      <c r="B430" s="11" t="s">
        <v>466</v>
      </c>
      <c r="C430" s="11" t="s">
        <v>467</v>
      </c>
      <c r="D430" s="12">
        <v>1021011</v>
      </c>
      <c r="E430" s="12">
        <v>1</v>
      </c>
      <c r="F430" s="12"/>
      <c r="G430" s="12">
        <v>30</v>
      </c>
      <c r="H430" s="12" t="s">
        <v>54</v>
      </c>
      <c r="I430" s="12"/>
      <c r="J430" s="12" t="s">
        <v>55</v>
      </c>
      <c r="K430" s="12" t="b">
        <v>1</v>
      </c>
      <c r="L430" s="12">
        <v>7</v>
      </c>
      <c r="M430" s="8">
        <v>2020</v>
      </c>
      <c r="N430" s="9">
        <v>8800000</v>
      </c>
      <c r="O430" s="13">
        <v>41578</v>
      </c>
      <c r="P430" s="13">
        <v>41578</v>
      </c>
    </row>
    <row r="431" spans="1:16">
      <c r="A431" s="10">
        <v>2013</v>
      </c>
      <c r="B431" s="11" t="s">
        <v>466</v>
      </c>
      <c r="C431" s="11" t="s">
        <v>467</v>
      </c>
      <c r="D431" s="12">
        <v>1021011</v>
      </c>
      <c r="E431" s="12">
        <v>1</v>
      </c>
      <c r="F431" s="12"/>
      <c r="G431" s="12">
        <v>30</v>
      </c>
      <c r="H431" s="12" t="s">
        <v>54</v>
      </c>
      <c r="I431" s="12"/>
      <c r="J431" s="12" t="s">
        <v>55</v>
      </c>
      <c r="K431" s="12" t="b">
        <v>1</v>
      </c>
      <c r="L431" s="12">
        <v>1</v>
      </c>
      <c r="M431" s="8">
        <v>2014</v>
      </c>
      <c r="N431" s="9">
        <v>7000000</v>
      </c>
      <c r="O431" s="13">
        <v>41578</v>
      </c>
      <c r="P431" s="13">
        <v>41578</v>
      </c>
    </row>
    <row r="432" spans="1:16">
      <c r="A432" s="10">
        <v>2013</v>
      </c>
      <c r="B432" s="11" t="s">
        <v>466</v>
      </c>
      <c r="C432" s="11" t="s">
        <v>467</v>
      </c>
      <c r="D432" s="12">
        <v>1021011</v>
      </c>
      <c r="E432" s="12">
        <v>1</v>
      </c>
      <c r="F432" s="12"/>
      <c r="G432" s="12">
        <v>30</v>
      </c>
      <c r="H432" s="12" t="s">
        <v>54</v>
      </c>
      <c r="I432" s="12"/>
      <c r="J432" s="12" t="s">
        <v>55</v>
      </c>
      <c r="K432" s="12" t="b">
        <v>1</v>
      </c>
      <c r="L432" s="12">
        <v>10</v>
      </c>
      <c r="M432" s="8">
        <v>2023</v>
      </c>
      <c r="N432" s="9">
        <v>9700000</v>
      </c>
      <c r="O432" s="13">
        <v>41578</v>
      </c>
      <c r="P432" s="13">
        <v>41578</v>
      </c>
    </row>
    <row r="433" spans="1:16">
      <c r="A433" s="10">
        <v>2013</v>
      </c>
      <c r="B433" s="11" t="s">
        <v>466</v>
      </c>
      <c r="C433" s="11" t="s">
        <v>467</v>
      </c>
      <c r="D433" s="12">
        <v>1021011</v>
      </c>
      <c r="E433" s="12">
        <v>1</v>
      </c>
      <c r="F433" s="12"/>
      <c r="G433" s="12">
        <v>30</v>
      </c>
      <c r="H433" s="12" t="s">
        <v>54</v>
      </c>
      <c r="I433" s="12"/>
      <c r="J433" s="12" t="s">
        <v>55</v>
      </c>
      <c r="K433" s="12" t="b">
        <v>1</v>
      </c>
      <c r="L433" s="12">
        <v>5</v>
      </c>
      <c r="M433" s="8">
        <v>2018</v>
      </c>
      <c r="N433" s="9">
        <v>8200000</v>
      </c>
      <c r="O433" s="13">
        <v>41578</v>
      </c>
      <c r="P433" s="13">
        <v>41578</v>
      </c>
    </row>
    <row r="434" spans="1:16">
      <c r="A434" s="10">
        <v>2013</v>
      </c>
      <c r="B434" s="11" t="s">
        <v>466</v>
      </c>
      <c r="C434" s="11" t="s">
        <v>467</v>
      </c>
      <c r="D434" s="12">
        <v>1021011</v>
      </c>
      <c r="E434" s="12">
        <v>1</v>
      </c>
      <c r="F434" s="12"/>
      <c r="G434" s="12">
        <v>30</v>
      </c>
      <c r="H434" s="12" t="s">
        <v>54</v>
      </c>
      <c r="I434" s="12"/>
      <c r="J434" s="12" t="s">
        <v>55</v>
      </c>
      <c r="K434" s="12" t="b">
        <v>1</v>
      </c>
      <c r="L434" s="12">
        <v>9</v>
      </c>
      <c r="M434" s="8">
        <v>2022</v>
      </c>
      <c r="N434" s="9">
        <v>9400000</v>
      </c>
      <c r="O434" s="13">
        <v>41578</v>
      </c>
      <c r="P434" s="13">
        <v>41578</v>
      </c>
    </row>
    <row r="435" spans="1:16">
      <c r="A435" s="10">
        <v>2013</v>
      </c>
      <c r="B435" s="11" t="s">
        <v>466</v>
      </c>
      <c r="C435" s="11" t="s">
        <v>467</v>
      </c>
      <c r="D435" s="12">
        <v>1021011</v>
      </c>
      <c r="E435" s="12">
        <v>1</v>
      </c>
      <c r="F435" s="12"/>
      <c r="G435" s="12">
        <v>30</v>
      </c>
      <c r="H435" s="12" t="s">
        <v>54</v>
      </c>
      <c r="I435" s="12"/>
      <c r="J435" s="12" t="s">
        <v>55</v>
      </c>
      <c r="K435" s="12" t="b">
        <v>1</v>
      </c>
      <c r="L435" s="12">
        <v>2</v>
      </c>
      <c r="M435" s="8">
        <v>2015</v>
      </c>
      <c r="N435" s="9">
        <v>7300000</v>
      </c>
      <c r="O435" s="13">
        <v>41578</v>
      </c>
      <c r="P435" s="13">
        <v>41578</v>
      </c>
    </row>
    <row r="436" spans="1:16">
      <c r="A436" s="10">
        <v>2013</v>
      </c>
      <c r="B436" s="11" t="s">
        <v>466</v>
      </c>
      <c r="C436" s="11" t="s">
        <v>467</v>
      </c>
      <c r="D436" s="12">
        <v>1021011</v>
      </c>
      <c r="E436" s="12">
        <v>1</v>
      </c>
      <c r="F436" s="12"/>
      <c r="G436" s="12">
        <v>30</v>
      </c>
      <c r="H436" s="12" t="s">
        <v>54</v>
      </c>
      <c r="I436" s="12"/>
      <c r="J436" s="12" t="s">
        <v>55</v>
      </c>
      <c r="K436" s="12" t="b">
        <v>1</v>
      </c>
      <c r="L436" s="12">
        <v>0</v>
      </c>
      <c r="M436" s="8">
        <v>2013</v>
      </c>
      <c r="N436" s="9">
        <v>6700000</v>
      </c>
      <c r="O436" s="13">
        <v>41578</v>
      </c>
      <c r="P436" s="13">
        <v>41578</v>
      </c>
    </row>
    <row r="437" spans="1:16">
      <c r="A437" s="10">
        <v>2013</v>
      </c>
      <c r="B437" s="11" t="s">
        <v>466</v>
      </c>
      <c r="C437" s="11" t="s">
        <v>467</v>
      </c>
      <c r="D437" s="12">
        <v>1021011</v>
      </c>
      <c r="E437" s="12">
        <v>1</v>
      </c>
      <c r="F437" s="12"/>
      <c r="G437" s="12">
        <v>760</v>
      </c>
      <c r="H437" s="12">
        <v>12.4</v>
      </c>
      <c r="I437" s="12"/>
      <c r="J437" s="12" t="s">
        <v>150</v>
      </c>
      <c r="K437" s="12" t="b">
        <v>1</v>
      </c>
      <c r="L437" s="12">
        <v>0</v>
      </c>
      <c r="M437" s="8">
        <v>2013</v>
      </c>
      <c r="N437" s="9">
        <v>735014.91</v>
      </c>
      <c r="O437" s="13">
        <v>41578</v>
      </c>
      <c r="P437" s="13">
        <v>41578</v>
      </c>
    </row>
    <row r="438" spans="1:16">
      <c r="A438" s="10">
        <v>2013</v>
      </c>
      <c r="B438" s="11" t="s">
        <v>466</v>
      </c>
      <c r="C438" s="11" t="s">
        <v>467</v>
      </c>
      <c r="D438" s="12">
        <v>1021011</v>
      </c>
      <c r="E438" s="12">
        <v>1</v>
      </c>
      <c r="F438" s="12"/>
      <c r="G438" s="12">
        <v>505</v>
      </c>
      <c r="H438" s="12" t="s">
        <v>113</v>
      </c>
      <c r="I438" s="12" t="s">
        <v>12</v>
      </c>
      <c r="J438" s="12" t="s">
        <v>114</v>
      </c>
      <c r="K438" s="12" t="b">
        <v>0</v>
      </c>
      <c r="L438" s="12">
        <v>2</v>
      </c>
      <c r="M438" s="8">
        <v>2015</v>
      </c>
      <c r="N438" s="9">
        <v>0.1381</v>
      </c>
      <c r="O438" s="13">
        <v>41578</v>
      </c>
      <c r="P438" s="13">
        <v>41578</v>
      </c>
    </row>
    <row r="439" spans="1:16">
      <c r="A439" s="10">
        <v>2013</v>
      </c>
      <c r="B439" s="11" t="s">
        <v>466</v>
      </c>
      <c r="C439" s="11" t="s">
        <v>467</v>
      </c>
      <c r="D439" s="12">
        <v>1021011</v>
      </c>
      <c r="E439" s="12">
        <v>1</v>
      </c>
      <c r="F439" s="12"/>
      <c r="G439" s="12">
        <v>505</v>
      </c>
      <c r="H439" s="12" t="s">
        <v>113</v>
      </c>
      <c r="I439" s="12" t="s">
        <v>12</v>
      </c>
      <c r="J439" s="12" t="s">
        <v>114</v>
      </c>
      <c r="K439" s="12" t="b">
        <v>0</v>
      </c>
      <c r="L439" s="12">
        <v>6</v>
      </c>
      <c r="M439" s="8">
        <v>2019</v>
      </c>
      <c r="N439" s="9">
        <v>0.13120000000000001</v>
      </c>
      <c r="O439" s="13">
        <v>41578</v>
      </c>
      <c r="P439" s="13">
        <v>41578</v>
      </c>
    </row>
    <row r="440" spans="1:16">
      <c r="A440" s="10">
        <v>2013</v>
      </c>
      <c r="B440" s="11" t="s">
        <v>466</v>
      </c>
      <c r="C440" s="11" t="s">
        <v>467</v>
      </c>
      <c r="D440" s="12">
        <v>1021011</v>
      </c>
      <c r="E440" s="12">
        <v>1</v>
      </c>
      <c r="F440" s="12"/>
      <c r="G440" s="12">
        <v>505</v>
      </c>
      <c r="H440" s="12" t="s">
        <v>113</v>
      </c>
      <c r="I440" s="12" t="s">
        <v>12</v>
      </c>
      <c r="J440" s="12" t="s">
        <v>114</v>
      </c>
      <c r="K440" s="12" t="b">
        <v>0</v>
      </c>
      <c r="L440" s="12">
        <v>7</v>
      </c>
      <c r="M440" s="8">
        <v>2020</v>
      </c>
      <c r="N440" s="9">
        <v>0.13009999999999999</v>
      </c>
      <c r="O440" s="13">
        <v>41578</v>
      </c>
      <c r="P440" s="13">
        <v>41578</v>
      </c>
    </row>
    <row r="441" spans="1:16">
      <c r="A441" s="10">
        <v>2013</v>
      </c>
      <c r="B441" s="11" t="s">
        <v>466</v>
      </c>
      <c r="C441" s="11" t="s">
        <v>467</v>
      </c>
      <c r="D441" s="12">
        <v>1021011</v>
      </c>
      <c r="E441" s="12">
        <v>1</v>
      </c>
      <c r="F441" s="12"/>
      <c r="G441" s="12">
        <v>505</v>
      </c>
      <c r="H441" s="12" t="s">
        <v>113</v>
      </c>
      <c r="I441" s="12" t="s">
        <v>12</v>
      </c>
      <c r="J441" s="12" t="s">
        <v>114</v>
      </c>
      <c r="K441" s="12" t="b">
        <v>0</v>
      </c>
      <c r="L441" s="12">
        <v>0</v>
      </c>
      <c r="M441" s="8">
        <v>2013</v>
      </c>
      <c r="N441" s="9">
        <v>3.3700000000000001E-2</v>
      </c>
      <c r="O441" s="13">
        <v>41578</v>
      </c>
      <c r="P441" s="13">
        <v>41578</v>
      </c>
    </row>
    <row r="442" spans="1:16">
      <c r="A442" s="10">
        <v>2013</v>
      </c>
      <c r="B442" s="11" t="s">
        <v>466</v>
      </c>
      <c r="C442" s="11" t="s">
        <v>467</v>
      </c>
      <c r="D442" s="12">
        <v>1021011</v>
      </c>
      <c r="E442" s="12">
        <v>1</v>
      </c>
      <c r="F442" s="12"/>
      <c r="G442" s="12">
        <v>505</v>
      </c>
      <c r="H442" s="12" t="s">
        <v>113</v>
      </c>
      <c r="I442" s="12" t="s">
        <v>12</v>
      </c>
      <c r="J442" s="12" t="s">
        <v>114</v>
      </c>
      <c r="K442" s="12" t="b">
        <v>0</v>
      </c>
      <c r="L442" s="12">
        <v>10</v>
      </c>
      <c r="M442" s="8">
        <v>2023</v>
      </c>
      <c r="N442" s="9">
        <v>0.12690000000000001</v>
      </c>
      <c r="O442" s="13">
        <v>41578</v>
      </c>
      <c r="P442" s="13">
        <v>41578</v>
      </c>
    </row>
    <row r="443" spans="1:16">
      <c r="A443" s="10">
        <v>2013</v>
      </c>
      <c r="B443" s="11" t="s">
        <v>466</v>
      </c>
      <c r="C443" s="11" t="s">
        <v>467</v>
      </c>
      <c r="D443" s="12">
        <v>1021011</v>
      </c>
      <c r="E443" s="12">
        <v>1</v>
      </c>
      <c r="F443" s="12"/>
      <c r="G443" s="12">
        <v>505</v>
      </c>
      <c r="H443" s="12" t="s">
        <v>113</v>
      </c>
      <c r="I443" s="12" t="s">
        <v>12</v>
      </c>
      <c r="J443" s="12" t="s">
        <v>114</v>
      </c>
      <c r="K443" s="12" t="b">
        <v>0</v>
      </c>
      <c r="L443" s="12">
        <v>1</v>
      </c>
      <c r="M443" s="8">
        <v>2014</v>
      </c>
      <c r="N443" s="9">
        <v>0.1467</v>
      </c>
      <c r="O443" s="13">
        <v>41578</v>
      </c>
      <c r="P443" s="13">
        <v>41578</v>
      </c>
    </row>
    <row r="444" spans="1:16">
      <c r="A444" s="10">
        <v>2013</v>
      </c>
      <c r="B444" s="11" t="s">
        <v>466</v>
      </c>
      <c r="C444" s="11" t="s">
        <v>467</v>
      </c>
      <c r="D444" s="12">
        <v>1021011</v>
      </c>
      <c r="E444" s="12">
        <v>1</v>
      </c>
      <c r="F444" s="12"/>
      <c r="G444" s="12">
        <v>505</v>
      </c>
      <c r="H444" s="12" t="s">
        <v>113</v>
      </c>
      <c r="I444" s="12" t="s">
        <v>12</v>
      </c>
      <c r="J444" s="12" t="s">
        <v>114</v>
      </c>
      <c r="K444" s="12" t="b">
        <v>0</v>
      </c>
      <c r="L444" s="12">
        <v>3</v>
      </c>
      <c r="M444" s="8">
        <v>2016</v>
      </c>
      <c r="N444" s="9">
        <v>0.1295</v>
      </c>
      <c r="O444" s="13">
        <v>41578</v>
      </c>
      <c r="P444" s="13">
        <v>41578</v>
      </c>
    </row>
    <row r="445" spans="1:16">
      <c r="A445" s="10">
        <v>2013</v>
      </c>
      <c r="B445" s="11" t="s">
        <v>466</v>
      </c>
      <c r="C445" s="11" t="s">
        <v>467</v>
      </c>
      <c r="D445" s="12">
        <v>1021011</v>
      </c>
      <c r="E445" s="12">
        <v>1</v>
      </c>
      <c r="F445" s="12"/>
      <c r="G445" s="12">
        <v>505</v>
      </c>
      <c r="H445" s="12" t="s">
        <v>113</v>
      </c>
      <c r="I445" s="12" t="s">
        <v>12</v>
      </c>
      <c r="J445" s="12" t="s">
        <v>114</v>
      </c>
      <c r="K445" s="12" t="b">
        <v>0</v>
      </c>
      <c r="L445" s="12">
        <v>5</v>
      </c>
      <c r="M445" s="8">
        <v>2018</v>
      </c>
      <c r="N445" s="9">
        <v>0.13139999999999999</v>
      </c>
      <c r="O445" s="13">
        <v>41578</v>
      </c>
      <c r="P445" s="13">
        <v>41578</v>
      </c>
    </row>
    <row r="446" spans="1:16">
      <c r="A446" s="10">
        <v>2013</v>
      </c>
      <c r="B446" s="11" t="s">
        <v>466</v>
      </c>
      <c r="C446" s="11" t="s">
        <v>467</v>
      </c>
      <c r="D446" s="12">
        <v>1021011</v>
      </c>
      <c r="E446" s="12">
        <v>1</v>
      </c>
      <c r="F446" s="12"/>
      <c r="G446" s="12">
        <v>505</v>
      </c>
      <c r="H446" s="12" t="s">
        <v>113</v>
      </c>
      <c r="I446" s="12" t="s">
        <v>12</v>
      </c>
      <c r="J446" s="12" t="s">
        <v>114</v>
      </c>
      <c r="K446" s="12" t="b">
        <v>0</v>
      </c>
      <c r="L446" s="12">
        <v>9</v>
      </c>
      <c r="M446" s="8">
        <v>2022</v>
      </c>
      <c r="N446" s="9">
        <v>0.12870000000000001</v>
      </c>
      <c r="O446" s="13">
        <v>41578</v>
      </c>
      <c r="P446" s="13">
        <v>41578</v>
      </c>
    </row>
    <row r="447" spans="1:16">
      <c r="A447" s="10">
        <v>2013</v>
      </c>
      <c r="B447" s="11" t="s">
        <v>466</v>
      </c>
      <c r="C447" s="11" t="s">
        <v>467</v>
      </c>
      <c r="D447" s="12">
        <v>1021011</v>
      </c>
      <c r="E447" s="12">
        <v>1</v>
      </c>
      <c r="F447" s="12"/>
      <c r="G447" s="12">
        <v>505</v>
      </c>
      <c r="H447" s="12" t="s">
        <v>113</v>
      </c>
      <c r="I447" s="12" t="s">
        <v>12</v>
      </c>
      <c r="J447" s="12" t="s">
        <v>114</v>
      </c>
      <c r="K447" s="12" t="b">
        <v>0</v>
      </c>
      <c r="L447" s="12">
        <v>4</v>
      </c>
      <c r="M447" s="8">
        <v>2017</v>
      </c>
      <c r="N447" s="9">
        <v>0.13159999999999999</v>
      </c>
      <c r="O447" s="13">
        <v>41578</v>
      </c>
      <c r="P447" s="13">
        <v>41578</v>
      </c>
    </row>
    <row r="448" spans="1:16">
      <c r="A448" s="10">
        <v>2013</v>
      </c>
      <c r="B448" s="11" t="s">
        <v>466</v>
      </c>
      <c r="C448" s="11" t="s">
        <v>467</v>
      </c>
      <c r="D448" s="12">
        <v>1021011</v>
      </c>
      <c r="E448" s="12">
        <v>1</v>
      </c>
      <c r="F448" s="12"/>
      <c r="G448" s="12">
        <v>505</v>
      </c>
      <c r="H448" s="12" t="s">
        <v>113</v>
      </c>
      <c r="I448" s="12" t="s">
        <v>12</v>
      </c>
      <c r="J448" s="12" t="s">
        <v>114</v>
      </c>
      <c r="K448" s="12" t="b">
        <v>0</v>
      </c>
      <c r="L448" s="12">
        <v>8</v>
      </c>
      <c r="M448" s="8">
        <v>2021</v>
      </c>
      <c r="N448" s="9">
        <v>0.12909999999999999</v>
      </c>
      <c r="O448" s="13">
        <v>41578</v>
      </c>
      <c r="P448" s="13">
        <v>41578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6"/>
  <dimension ref="A1:R62"/>
  <sheetViews>
    <sheetView workbookViewId="0">
      <selection activeCell="R4" sqref="R4:R62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6" width="16.875" customWidth="1"/>
  </cols>
  <sheetData>
    <row r="1" spans="1:18" ht="15">
      <c r="A1" s="3" t="s">
        <v>38</v>
      </c>
      <c r="L1" s="7" t="s">
        <v>41</v>
      </c>
      <c r="M1" s="14">
        <f>MIN(L:L)</f>
        <v>2013</v>
      </c>
      <c r="N1" s="14"/>
      <c r="O1" s="14"/>
      <c r="P1" s="14"/>
    </row>
    <row r="3" spans="1:18" ht="15" thickBot="1">
      <c r="A3" s="4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221</v>
      </c>
      <c r="N3" s="5" t="s">
        <v>222</v>
      </c>
      <c r="O3" s="5" t="s">
        <v>224</v>
      </c>
      <c r="P3" s="5" t="s">
        <v>223</v>
      </c>
      <c r="Q3" s="5" t="s">
        <v>32</v>
      </c>
      <c r="R3" s="5" t="s">
        <v>33</v>
      </c>
    </row>
    <row r="4" spans="1:18">
      <c r="A4" s="10">
        <v>2013</v>
      </c>
      <c r="B4" s="11" t="s">
        <v>466</v>
      </c>
      <c r="C4" s="11" t="s">
        <v>467</v>
      </c>
      <c r="D4" s="12">
        <v>1021011</v>
      </c>
      <c r="E4" s="12">
        <v>1</v>
      </c>
      <c r="F4" s="12"/>
      <c r="G4" s="12">
        <v>670</v>
      </c>
      <c r="H4" s="12">
        <v>12.1</v>
      </c>
      <c r="I4" s="12"/>
      <c r="J4" s="12" t="s">
        <v>135</v>
      </c>
      <c r="K4" s="12" t="b">
        <v>1</v>
      </c>
      <c r="L4" s="8">
        <v>2013</v>
      </c>
      <c r="M4" s="9">
        <v>0</v>
      </c>
      <c r="N4" s="9">
        <v>0</v>
      </c>
      <c r="O4" s="9">
        <v>0</v>
      </c>
      <c r="P4" s="9">
        <v>931390.39</v>
      </c>
      <c r="Q4" s="13">
        <v>41578</v>
      </c>
      <c r="R4" s="13">
        <v>41578</v>
      </c>
    </row>
    <row r="5" spans="1:18">
      <c r="A5" s="10">
        <v>2013</v>
      </c>
      <c r="B5" s="11" t="s">
        <v>466</v>
      </c>
      <c r="C5" s="11" t="s">
        <v>467</v>
      </c>
      <c r="D5" s="12">
        <v>1021011</v>
      </c>
      <c r="E5" s="12">
        <v>1</v>
      </c>
      <c r="F5" s="12"/>
      <c r="G5" s="12">
        <v>610</v>
      </c>
      <c r="H5" s="12" t="s">
        <v>127</v>
      </c>
      <c r="I5" s="12"/>
      <c r="J5" s="12" t="s">
        <v>128</v>
      </c>
      <c r="K5" s="12" t="b">
        <v>1</v>
      </c>
      <c r="L5" s="8">
        <v>2013</v>
      </c>
      <c r="M5" s="9">
        <v>0</v>
      </c>
      <c r="N5" s="9">
        <v>0</v>
      </c>
      <c r="O5" s="9">
        <v>994525</v>
      </c>
      <c r="P5" s="9">
        <v>0</v>
      </c>
      <c r="Q5" s="13">
        <v>41578</v>
      </c>
      <c r="R5" s="13">
        <v>41578</v>
      </c>
    </row>
    <row r="6" spans="1:18">
      <c r="A6" s="10">
        <v>2013</v>
      </c>
      <c r="B6" s="11" t="s">
        <v>466</v>
      </c>
      <c r="C6" s="11" t="s">
        <v>467</v>
      </c>
      <c r="D6" s="12">
        <v>1021011</v>
      </c>
      <c r="E6" s="12">
        <v>1</v>
      </c>
      <c r="F6" s="12"/>
      <c r="G6" s="12">
        <v>750</v>
      </c>
      <c r="H6" s="12" t="s">
        <v>148</v>
      </c>
      <c r="I6" s="12"/>
      <c r="J6" s="12" t="s">
        <v>149</v>
      </c>
      <c r="K6" s="12" t="b">
        <v>0</v>
      </c>
      <c r="L6" s="8">
        <v>2013</v>
      </c>
      <c r="M6" s="9">
        <v>0</v>
      </c>
      <c r="N6" s="9">
        <v>0</v>
      </c>
      <c r="O6" s="9">
        <v>0</v>
      </c>
      <c r="P6" s="9">
        <v>0</v>
      </c>
      <c r="Q6" s="13">
        <v>41578</v>
      </c>
      <c r="R6" s="13">
        <v>41578</v>
      </c>
    </row>
    <row r="7" spans="1:18">
      <c r="A7" s="10">
        <v>2013</v>
      </c>
      <c r="B7" s="11" t="s">
        <v>466</v>
      </c>
      <c r="C7" s="11" t="s">
        <v>467</v>
      </c>
      <c r="D7" s="12">
        <v>1021011</v>
      </c>
      <c r="E7" s="12">
        <v>1</v>
      </c>
      <c r="F7" s="12"/>
      <c r="G7" s="12">
        <v>310</v>
      </c>
      <c r="H7" s="12">
        <v>5.0999999999999996</v>
      </c>
      <c r="I7" s="12"/>
      <c r="J7" s="12" t="s">
        <v>94</v>
      </c>
      <c r="K7" s="12" t="b">
        <v>1</v>
      </c>
      <c r="L7" s="8">
        <v>2013</v>
      </c>
      <c r="M7" s="9">
        <v>1916539.28</v>
      </c>
      <c r="N7" s="9">
        <v>2541577.2799999998</v>
      </c>
      <c r="O7" s="9">
        <v>1904000</v>
      </c>
      <c r="P7" s="9">
        <v>1903176.7</v>
      </c>
      <c r="Q7" s="13">
        <v>41578</v>
      </c>
      <c r="R7" s="13">
        <v>41578</v>
      </c>
    </row>
    <row r="8" spans="1:18">
      <c r="A8" s="10">
        <v>2013</v>
      </c>
      <c r="B8" s="11" t="s">
        <v>466</v>
      </c>
      <c r="C8" s="11" t="s">
        <v>467</v>
      </c>
      <c r="D8" s="12">
        <v>1021011</v>
      </c>
      <c r="E8" s="12">
        <v>1</v>
      </c>
      <c r="F8" s="12"/>
      <c r="G8" s="12">
        <v>90</v>
      </c>
      <c r="H8" s="12">
        <v>1.2</v>
      </c>
      <c r="I8" s="12"/>
      <c r="J8" s="12" t="s">
        <v>66</v>
      </c>
      <c r="K8" s="12" t="b">
        <v>1</v>
      </c>
      <c r="L8" s="8">
        <v>2013</v>
      </c>
      <c r="M8" s="9">
        <v>5591089.8300000001</v>
      </c>
      <c r="N8" s="9">
        <v>2650951.14</v>
      </c>
      <c r="O8" s="9">
        <v>5708395.4800000004</v>
      </c>
      <c r="P8" s="9">
        <v>5020533.8099999996</v>
      </c>
      <c r="Q8" s="13">
        <v>41578</v>
      </c>
      <c r="R8" s="13">
        <v>41578</v>
      </c>
    </row>
    <row r="9" spans="1:18">
      <c r="A9" s="10">
        <v>2013</v>
      </c>
      <c r="B9" s="11" t="s">
        <v>466</v>
      </c>
      <c r="C9" s="11" t="s">
        <v>467</v>
      </c>
      <c r="D9" s="12">
        <v>1021011</v>
      </c>
      <c r="E9" s="12">
        <v>1</v>
      </c>
      <c r="F9" s="12"/>
      <c r="G9" s="12">
        <v>500</v>
      </c>
      <c r="H9" s="12">
        <v>9.6</v>
      </c>
      <c r="I9" s="12" t="s">
        <v>468</v>
      </c>
      <c r="J9" s="12" t="s">
        <v>112</v>
      </c>
      <c r="K9" s="12" t="b">
        <v>0</v>
      </c>
      <c r="L9" s="8">
        <v>2013</v>
      </c>
      <c r="M9" s="9">
        <v>7.5600000000000001E-2</v>
      </c>
      <c r="N9" s="9">
        <v>0.1061</v>
      </c>
      <c r="O9" s="9">
        <v>7.9699999999999993E-2</v>
      </c>
      <c r="P9" s="9">
        <v>7.8200000000000006E-2</v>
      </c>
      <c r="Q9" s="13">
        <v>41578</v>
      </c>
      <c r="R9" s="13">
        <v>41578</v>
      </c>
    </row>
    <row r="10" spans="1:18">
      <c r="A10" s="10">
        <v>2013</v>
      </c>
      <c r="B10" s="11" t="s">
        <v>466</v>
      </c>
      <c r="C10" s="11" t="s">
        <v>467</v>
      </c>
      <c r="D10" s="12">
        <v>1021011</v>
      </c>
      <c r="E10" s="12">
        <v>1</v>
      </c>
      <c r="F10" s="12"/>
      <c r="G10" s="12">
        <v>710</v>
      </c>
      <c r="H10" s="12" t="s">
        <v>141</v>
      </c>
      <c r="I10" s="12"/>
      <c r="J10" s="12" t="s">
        <v>142</v>
      </c>
      <c r="K10" s="12" t="b">
        <v>0</v>
      </c>
      <c r="L10" s="8">
        <v>2013</v>
      </c>
      <c r="M10" s="9">
        <v>3773685.71</v>
      </c>
      <c r="N10" s="9">
        <v>0</v>
      </c>
      <c r="O10" s="9">
        <v>3830155.48</v>
      </c>
      <c r="P10" s="9">
        <v>3113726.16</v>
      </c>
      <c r="Q10" s="13">
        <v>41578</v>
      </c>
      <c r="R10" s="13">
        <v>41578</v>
      </c>
    </row>
    <row r="11" spans="1:18">
      <c r="A11" s="10">
        <v>2013</v>
      </c>
      <c r="B11" s="11" t="s">
        <v>466</v>
      </c>
      <c r="C11" s="11" t="s">
        <v>467</v>
      </c>
      <c r="D11" s="12">
        <v>1021011</v>
      </c>
      <c r="E11" s="12">
        <v>1</v>
      </c>
      <c r="F11" s="12"/>
      <c r="G11" s="12">
        <v>380</v>
      </c>
      <c r="H11" s="12">
        <v>6.2</v>
      </c>
      <c r="I11" s="12" t="s">
        <v>470</v>
      </c>
      <c r="J11" s="12" t="s">
        <v>103</v>
      </c>
      <c r="K11" s="12" t="b">
        <v>0</v>
      </c>
      <c r="L11" s="8">
        <v>2013</v>
      </c>
      <c r="M11" s="9">
        <v>0.40810000000000002</v>
      </c>
      <c r="N11" s="9">
        <v>0.44769999999999999</v>
      </c>
      <c r="O11" s="9">
        <v>0.44409999999999999</v>
      </c>
      <c r="P11" s="9">
        <v>0.45019999999999999</v>
      </c>
      <c r="Q11" s="13">
        <v>41578</v>
      </c>
      <c r="R11" s="13">
        <v>41578</v>
      </c>
    </row>
    <row r="12" spans="1:18">
      <c r="A12" s="10">
        <v>2013</v>
      </c>
      <c r="B12" s="11" t="s">
        <v>466</v>
      </c>
      <c r="C12" s="11" t="s">
        <v>467</v>
      </c>
      <c r="D12" s="12">
        <v>1021011</v>
      </c>
      <c r="E12" s="12">
        <v>1</v>
      </c>
      <c r="F12" s="12"/>
      <c r="G12" s="12">
        <v>20</v>
      </c>
      <c r="H12" s="12">
        <v>1.1000000000000001</v>
      </c>
      <c r="I12" s="12"/>
      <c r="J12" s="12" t="s">
        <v>53</v>
      </c>
      <c r="K12" s="12" t="b">
        <v>1</v>
      </c>
      <c r="L12" s="8">
        <v>2013</v>
      </c>
      <c r="M12" s="9">
        <v>25893786.18</v>
      </c>
      <c r="N12" s="9">
        <v>28412491.190000001</v>
      </c>
      <c r="O12" s="9">
        <v>29915724.449999999</v>
      </c>
      <c r="P12" s="9">
        <v>29417886.460000001</v>
      </c>
      <c r="Q12" s="13">
        <v>41578</v>
      </c>
      <c r="R12" s="13">
        <v>41578</v>
      </c>
    </row>
    <row r="13" spans="1:18">
      <c r="A13" s="10">
        <v>2013</v>
      </c>
      <c r="B13" s="11" t="s">
        <v>466</v>
      </c>
      <c r="C13" s="11" t="s">
        <v>467</v>
      </c>
      <c r="D13" s="12">
        <v>1021011</v>
      </c>
      <c r="E13" s="12">
        <v>1</v>
      </c>
      <c r="F13" s="12"/>
      <c r="G13" s="12">
        <v>770</v>
      </c>
      <c r="H13" s="12" t="s">
        <v>151</v>
      </c>
      <c r="I13" s="12"/>
      <c r="J13" s="12" t="s">
        <v>152</v>
      </c>
      <c r="K13" s="12" t="b">
        <v>1</v>
      </c>
      <c r="L13" s="8">
        <v>2013</v>
      </c>
      <c r="M13" s="9">
        <v>0</v>
      </c>
      <c r="N13" s="9">
        <v>0</v>
      </c>
      <c r="O13" s="9">
        <v>3830155.48</v>
      </c>
      <c r="P13" s="9">
        <v>3360023.79</v>
      </c>
      <c r="Q13" s="13">
        <v>41578</v>
      </c>
      <c r="R13" s="13">
        <v>41578</v>
      </c>
    </row>
    <row r="14" spans="1:18">
      <c r="A14" s="10">
        <v>2013</v>
      </c>
      <c r="B14" s="11" t="s">
        <v>466</v>
      </c>
      <c r="C14" s="11" t="s">
        <v>467</v>
      </c>
      <c r="D14" s="12">
        <v>1021011</v>
      </c>
      <c r="E14" s="12">
        <v>1</v>
      </c>
      <c r="F14" s="12"/>
      <c r="G14" s="12">
        <v>260</v>
      </c>
      <c r="H14" s="12">
        <v>4.3</v>
      </c>
      <c r="I14" s="12"/>
      <c r="J14" s="12" t="s">
        <v>89</v>
      </c>
      <c r="K14" s="12" t="b">
        <v>1</v>
      </c>
      <c r="L14" s="8">
        <v>2013</v>
      </c>
      <c r="M14" s="9">
        <v>6000000</v>
      </c>
      <c r="N14" s="9">
        <v>3600000</v>
      </c>
      <c r="O14" s="9">
        <v>3818747.09</v>
      </c>
      <c r="P14" s="9">
        <v>3500000</v>
      </c>
      <c r="Q14" s="13">
        <v>41578</v>
      </c>
      <c r="R14" s="13">
        <v>41578</v>
      </c>
    </row>
    <row r="15" spans="1:18">
      <c r="A15" s="10">
        <v>2013</v>
      </c>
      <c r="B15" s="11" t="s">
        <v>466</v>
      </c>
      <c r="C15" s="11" t="s">
        <v>467</v>
      </c>
      <c r="D15" s="12">
        <v>1021011</v>
      </c>
      <c r="E15" s="12">
        <v>1</v>
      </c>
      <c r="F15" s="12"/>
      <c r="G15" s="12">
        <v>600</v>
      </c>
      <c r="H15" s="12">
        <v>11.3</v>
      </c>
      <c r="I15" s="12" t="s">
        <v>469</v>
      </c>
      <c r="J15" s="12" t="s">
        <v>126</v>
      </c>
      <c r="K15" s="12" t="b">
        <v>1</v>
      </c>
      <c r="L15" s="8">
        <v>2013</v>
      </c>
      <c r="M15" s="9">
        <v>0</v>
      </c>
      <c r="N15" s="9">
        <v>0</v>
      </c>
      <c r="O15" s="9">
        <v>1841325</v>
      </c>
      <c r="P15" s="9">
        <v>0</v>
      </c>
      <c r="Q15" s="13">
        <v>41578</v>
      </c>
      <c r="R15" s="13">
        <v>41578</v>
      </c>
    </row>
    <row r="16" spans="1:18">
      <c r="A16" s="10">
        <v>2013</v>
      </c>
      <c r="B16" s="11" t="s">
        <v>466</v>
      </c>
      <c r="C16" s="11" t="s">
        <v>467</v>
      </c>
      <c r="D16" s="12">
        <v>1021011</v>
      </c>
      <c r="E16" s="12">
        <v>1</v>
      </c>
      <c r="F16" s="12"/>
      <c r="G16" s="12">
        <v>10</v>
      </c>
      <c r="H16" s="12">
        <v>1</v>
      </c>
      <c r="I16" s="12" t="s">
        <v>471</v>
      </c>
      <c r="J16" s="12" t="s">
        <v>39</v>
      </c>
      <c r="K16" s="12" t="b">
        <v>1</v>
      </c>
      <c r="L16" s="8">
        <v>2013</v>
      </c>
      <c r="M16" s="9">
        <v>31484876.010000002</v>
      </c>
      <c r="N16" s="9">
        <v>31063442.329999998</v>
      </c>
      <c r="O16" s="9">
        <v>35624119.93</v>
      </c>
      <c r="P16" s="9">
        <v>34438420.270000003</v>
      </c>
      <c r="Q16" s="13">
        <v>41578</v>
      </c>
      <c r="R16" s="13">
        <v>41578</v>
      </c>
    </row>
    <row r="17" spans="1:18">
      <c r="A17" s="10">
        <v>2013</v>
      </c>
      <c r="B17" s="11" t="s">
        <v>466</v>
      </c>
      <c r="C17" s="11" t="s">
        <v>467</v>
      </c>
      <c r="D17" s="12">
        <v>1021011</v>
      </c>
      <c r="E17" s="12">
        <v>1</v>
      </c>
      <c r="F17" s="12"/>
      <c r="G17" s="12">
        <v>590</v>
      </c>
      <c r="H17" s="12">
        <v>11.2</v>
      </c>
      <c r="I17" s="12"/>
      <c r="J17" s="12" t="s">
        <v>125</v>
      </c>
      <c r="K17" s="12" t="b">
        <v>1</v>
      </c>
      <c r="L17" s="8">
        <v>2013</v>
      </c>
      <c r="M17" s="9">
        <v>0</v>
      </c>
      <c r="N17" s="9">
        <v>0</v>
      </c>
      <c r="O17" s="9">
        <v>0</v>
      </c>
      <c r="P17" s="9">
        <v>0</v>
      </c>
      <c r="Q17" s="13">
        <v>41578</v>
      </c>
      <c r="R17" s="13">
        <v>41578</v>
      </c>
    </row>
    <row r="18" spans="1:18">
      <c r="A18" s="10">
        <v>2013</v>
      </c>
      <c r="B18" s="11" t="s">
        <v>466</v>
      </c>
      <c r="C18" s="11" t="s">
        <v>467</v>
      </c>
      <c r="D18" s="12">
        <v>1021011</v>
      </c>
      <c r="E18" s="12">
        <v>1</v>
      </c>
      <c r="F18" s="12"/>
      <c r="G18" s="12">
        <v>580</v>
      </c>
      <c r="H18" s="12">
        <v>11.1</v>
      </c>
      <c r="I18" s="12"/>
      <c r="J18" s="12" t="s">
        <v>124</v>
      </c>
      <c r="K18" s="12" t="b">
        <v>0</v>
      </c>
      <c r="L18" s="8">
        <v>2013</v>
      </c>
      <c r="M18" s="9">
        <v>10915139.42</v>
      </c>
      <c r="N18" s="9">
        <v>0</v>
      </c>
      <c r="O18" s="9">
        <v>12203062</v>
      </c>
      <c r="P18" s="9">
        <v>12006826.01</v>
      </c>
      <c r="Q18" s="13">
        <v>41578</v>
      </c>
      <c r="R18" s="13">
        <v>41578</v>
      </c>
    </row>
    <row r="19" spans="1:18">
      <c r="A19" s="10">
        <v>2013</v>
      </c>
      <c r="B19" s="11" t="s">
        <v>466</v>
      </c>
      <c r="C19" s="11" t="s">
        <v>467</v>
      </c>
      <c r="D19" s="12">
        <v>1021011</v>
      </c>
      <c r="E19" s="12">
        <v>1</v>
      </c>
      <c r="F19" s="12"/>
      <c r="G19" s="12">
        <v>170</v>
      </c>
      <c r="H19" s="12" t="s">
        <v>78</v>
      </c>
      <c r="I19" s="12"/>
      <c r="J19" s="12" t="s">
        <v>79</v>
      </c>
      <c r="K19" s="12" t="b">
        <v>1</v>
      </c>
      <c r="L19" s="8">
        <v>2013</v>
      </c>
      <c r="M19" s="9">
        <v>464051.55</v>
      </c>
      <c r="N19" s="9">
        <v>755389.64</v>
      </c>
      <c r="O19" s="9">
        <v>884400</v>
      </c>
      <c r="P19" s="9">
        <v>791159.57</v>
      </c>
      <c r="Q19" s="13">
        <v>41578</v>
      </c>
      <c r="R19" s="13">
        <v>41578</v>
      </c>
    </row>
    <row r="20" spans="1:18">
      <c r="A20" s="10">
        <v>2013</v>
      </c>
      <c r="B20" s="11" t="s">
        <v>466</v>
      </c>
      <c r="C20" s="11" t="s">
        <v>467</v>
      </c>
      <c r="D20" s="12">
        <v>1021011</v>
      </c>
      <c r="E20" s="12">
        <v>1</v>
      </c>
      <c r="F20" s="12"/>
      <c r="G20" s="12">
        <v>730</v>
      </c>
      <c r="H20" s="12">
        <v>12.3</v>
      </c>
      <c r="I20" s="12"/>
      <c r="J20" s="12" t="s">
        <v>145</v>
      </c>
      <c r="K20" s="12" t="b">
        <v>0</v>
      </c>
      <c r="L20" s="8">
        <v>2013</v>
      </c>
      <c r="M20" s="9">
        <v>0</v>
      </c>
      <c r="N20" s="9">
        <v>0</v>
      </c>
      <c r="O20" s="9">
        <v>0</v>
      </c>
      <c r="P20" s="9">
        <v>0</v>
      </c>
      <c r="Q20" s="13">
        <v>41578</v>
      </c>
      <c r="R20" s="13">
        <v>41578</v>
      </c>
    </row>
    <row r="21" spans="1:18">
      <c r="A21" s="10">
        <v>2013</v>
      </c>
      <c r="B21" s="11" t="s">
        <v>466</v>
      </c>
      <c r="C21" s="11" t="s">
        <v>467</v>
      </c>
      <c r="D21" s="12">
        <v>1021011</v>
      </c>
      <c r="E21" s="12">
        <v>1</v>
      </c>
      <c r="F21" s="12"/>
      <c r="G21" s="12">
        <v>880</v>
      </c>
      <c r="H21" s="12">
        <v>14.1</v>
      </c>
      <c r="I21" s="12"/>
      <c r="J21" s="12" t="s">
        <v>164</v>
      </c>
      <c r="K21" s="12" t="b">
        <v>1</v>
      </c>
      <c r="L21" s="8">
        <v>2013</v>
      </c>
      <c r="M21" s="9">
        <v>0</v>
      </c>
      <c r="N21" s="9">
        <v>0</v>
      </c>
      <c r="O21" s="9">
        <v>0</v>
      </c>
      <c r="P21" s="9">
        <v>0</v>
      </c>
      <c r="Q21" s="13">
        <v>41578</v>
      </c>
      <c r="R21" s="13">
        <v>41578</v>
      </c>
    </row>
    <row r="22" spans="1:18">
      <c r="A22" s="10">
        <v>2013</v>
      </c>
      <c r="B22" s="11" t="s">
        <v>466</v>
      </c>
      <c r="C22" s="11" t="s">
        <v>467</v>
      </c>
      <c r="D22" s="12">
        <v>1021011</v>
      </c>
      <c r="E22" s="12">
        <v>1</v>
      </c>
      <c r="F22" s="12"/>
      <c r="G22" s="12">
        <v>110</v>
      </c>
      <c r="H22" s="12" t="s">
        <v>69</v>
      </c>
      <c r="I22" s="12"/>
      <c r="J22" s="12" t="s">
        <v>70</v>
      </c>
      <c r="K22" s="12" t="b">
        <v>1</v>
      </c>
      <c r="L22" s="8">
        <v>2013</v>
      </c>
      <c r="M22" s="9">
        <v>0</v>
      </c>
      <c r="N22" s="9">
        <v>0</v>
      </c>
      <c r="O22" s="9">
        <v>0</v>
      </c>
      <c r="P22" s="9">
        <v>0</v>
      </c>
      <c r="Q22" s="13">
        <v>41578</v>
      </c>
      <c r="R22" s="13">
        <v>41578</v>
      </c>
    </row>
    <row r="23" spans="1:18">
      <c r="A23" s="10">
        <v>2013</v>
      </c>
      <c r="B23" s="11" t="s">
        <v>466</v>
      </c>
      <c r="C23" s="11" t="s">
        <v>467</v>
      </c>
      <c r="D23" s="12">
        <v>1021011</v>
      </c>
      <c r="E23" s="12">
        <v>1</v>
      </c>
      <c r="F23" s="12"/>
      <c r="G23" s="12">
        <v>80</v>
      </c>
      <c r="H23" s="12" t="s">
        <v>64</v>
      </c>
      <c r="I23" s="12"/>
      <c r="J23" s="12" t="s">
        <v>65</v>
      </c>
      <c r="K23" s="12" t="b">
        <v>1</v>
      </c>
      <c r="L23" s="8">
        <v>2013</v>
      </c>
      <c r="M23" s="9">
        <v>0</v>
      </c>
      <c r="N23" s="9">
        <v>0</v>
      </c>
      <c r="O23" s="9">
        <v>0</v>
      </c>
      <c r="P23" s="9">
        <v>0</v>
      </c>
      <c r="Q23" s="13">
        <v>41578</v>
      </c>
      <c r="R23" s="13">
        <v>41578</v>
      </c>
    </row>
    <row r="24" spans="1:18">
      <c r="A24" s="10">
        <v>2013</v>
      </c>
      <c r="B24" s="11" t="s">
        <v>466</v>
      </c>
      <c r="C24" s="11" t="s">
        <v>467</v>
      </c>
      <c r="D24" s="12">
        <v>1021011</v>
      </c>
      <c r="E24" s="12">
        <v>1</v>
      </c>
      <c r="F24" s="12"/>
      <c r="G24" s="12">
        <v>460</v>
      </c>
      <c r="H24" s="12">
        <v>9.1999999999999993</v>
      </c>
      <c r="I24" s="12" t="s">
        <v>472</v>
      </c>
      <c r="J24" s="12" t="s">
        <v>109</v>
      </c>
      <c r="K24" s="12" t="b">
        <v>0</v>
      </c>
      <c r="L24" s="8">
        <v>2013</v>
      </c>
      <c r="M24" s="9">
        <v>7.5600000000000001E-2</v>
      </c>
      <c r="N24" s="9">
        <v>0.1061</v>
      </c>
      <c r="O24" s="9">
        <v>7.9699999999999993E-2</v>
      </c>
      <c r="P24" s="9">
        <v>7.8200000000000006E-2</v>
      </c>
      <c r="Q24" s="13">
        <v>41578</v>
      </c>
      <c r="R24" s="13">
        <v>41578</v>
      </c>
    </row>
    <row r="25" spans="1:18">
      <c r="A25" s="10">
        <v>2013</v>
      </c>
      <c r="B25" s="11" t="s">
        <v>466</v>
      </c>
      <c r="C25" s="11" t="s">
        <v>467</v>
      </c>
      <c r="D25" s="12">
        <v>1021011</v>
      </c>
      <c r="E25" s="12">
        <v>1</v>
      </c>
      <c r="F25" s="12"/>
      <c r="G25" s="12">
        <v>300</v>
      </c>
      <c r="H25" s="12">
        <v>5</v>
      </c>
      <c r="I25" s="12" t="s">
        <v>473</v>
      </c>
      <c r="J25" s="12" t="s">
        <v>93</v>
      </c>
      <c r="K25" s="12" t="b">
        <v>0</v>
      </c>
      <c r="L25" s="8">
        <v>2013</v>
      </c>
      <c r="M25" s="9">
        <v>1916539.28</v>
      </c>
      <c r="N25" s="9">
        <v>2541577.2799999998</v>
      </c>
      <c r="O25" s="9">
        <v>1904000</v>
      </c>
      <c r="P25" s="9">
        <v>1903176.7</v>
      </c>
      <c r="Q25" s="13">
        <v>41578</v>
      </c>
      <c r="R25" s="13">
        <v>41578</v>
      </c>
    </row>
    <row r="26" spans="1:18">
      <c r="A26" s="10">
        <v>2013</v>
      </c>
      <c r="B26" s="11" t="s">
        <v>466</v>
      </c>
      <c r="C26" s="11" t="s">
        <v>467</v>
      </c>
      <c r="D26" s="12">
        <v>1021011</v>
      </c>
      <c r="E26" s="12">
        <v>1</v>
      </c>
      <c r="F26" s="12"/>
      <c r="G26" s="12">
        <v>700</v>
      </c>
      <c r="H26" s="12">
        <v>12.2</v>
      </c>
      <c r="I26" s="12"/>
      <c r="J26" s="12" t="s">
        <v>140</v>
      </c>
      <c r="K26" s="12" t="b">
        <v>0</v>
      </c>
      <c r="L26" s="8">
        <v>2013</v>
      </c>
      <c r="M26" s="9">
        <v>0</v>
      </c>
      <c r="N26" s="9">
        <v>0</v>
      </c>
      <c r="O26" s="9">
        <v>0</v>
      </c>
      <c r="P26" s="9">
        <v>0</v>
      </c>
      <c r="Q26" s="13">
        <v>41578</v>
      </c>
      <c r="R26" s="13">
        <v>41578</v>
      </c>
    </row>
    <row r="27" spans="1:18">
      <c r="A27" s="10">
        <v>2013</v>
      </c>
      <c r="B27" s="11" t="s">
        <v>466</v>
      </c>
      <c r="C27" s="11" t="s">
        <v>467</v>
      </c>
      <c r="D27" s="12">
        <v>1021011</v>
      </c>
      <c r="E27" s="12">
        <v>1</v>
      </c>
      <c r="F27" s="12"/>
      <c r="G27" s="12">
        <v>630</v>
      </c>
      <c r="H27" s="12">
        <v>11.4</v>
      </c>
      <c r="I27" s="12"/>
      <c r="J27" s="12" t="s">
        <v>131</v>
      </c>
      <c r="K27" s="12" t="b">
        <v>1</v>
      </c>
      <c r="L27" s="8">
        <v>2013</v>
      </c>
      <c r="M27" s="9">
        <v>0</v>
      </c>
      <c r="N27" s="9">
        <v>0</v>
      </c>
      <c r="O27" s="9">
        <v>0</v>
      </c>
      <c r="P27" s="9">
        <v>0</v>
      </c>
      <c r="Q27" s="13">
        <v>41578</v>
      </c>
      <c r="R27" s="13">
        <v>41578</v>
      </c>
    </row>
    <row r="28" spans="1:18">
      <c r="A28" s="10">
        <v>2013</v>
      </c>
      <c r="B28" s="11" t="s">
        <v>466</v>
      </c>
      <c r="C28" s="11" t="s">
        <v>467</v>
      </c>
      <c r="D28" s="12">
        <v>1021011</v>
      </c>
      <c r="E28" s="12">
        <v>1</v>
      </c>
      <c r="F28" s="12"/>
      <c r="G28" s="12">
        <v>120</v>
      </c>
      <c r="H28" s="12">
        <v>2</v>
      </c>
      <c r="I28" s="12" t="s">
        <v>0</v>
      </c>
      <c r="J28" s="12" t="s">
        <v>34</v>
      </c>
      <c r="K28" s="12" t="b">
        <v>0</v>
      </c>
      <c r="L28" s="8">
        <v>2013</v>
      </c>
      <c r="M28" s="9">
        <v>34609335.700000003</v>
      </c>
      <c r="N28" s="9">
        <v>31037203.93</v>
      </c>
      <c r="O28" s="9">
        <v>40495660.859999999</v>
      </c>
      <c r="P28" s="9">
        <v>36384626.189999998</v>
      </c>
      <c r="Q28" s="13">
        <v>41578</v>
      </c>
      <c r="R28" s="13">
        <v>41578</v>
      </c>
    </row>
    <row r="29" spans="1:18">
      <c r="A29" s="10">
        <v>2013</v>
      </c>
      <c r="B29" s="11" t="s">
        <v>466</v>
      </c>
      <c r="C29" s="11" t="s">
        <v>467</v>
      </c>
      <c r="D29" s="12">
        <v>1021011</v>
      </c>
      <c r="E29" s="12">
        <v>1</v>
      </c>
      <c r="F29" s="12"/>
      <c r="G29" s="12">
        <v>530</v>
      </c>
      <c r="H29" s="12">
        <v>9.8000000000000007</v>
      </c>
      <c r="I29" s="12" t="s">
        <v>1</v>
      </c>
      <c r="J29" s="12" t="s">
        <v>118</v>
      </c>
      <c r="K29" s="12" t="b">
        <v>0</v>
      </c>
      <c r="L29" s="8">
        <v>2013</v>
      </c>
      <c r="M29" s="9">
        <v>7.5600000000000001E-2</v>
      </c>
      <c r="N29" s="9">
        <v>0.1061</v>
      </c>
      <c r="O29" s="9">
        <v>7.9699999999999993E-2</v>
      </c>
      <c r="P29" s="9">
        <v>7.8200000000000006E-2</v>
      </c>
      <c r="Q29" s="13">
        <v>41578</v>
      </c>
      <c r="R29" s="13">
        <v>41578</v>
      </c>
    </row>
    <row r="30" spans="1:18">
      <c r="A30" s="10">
        <v>2013</v>
      </c>
      <c r="B30" s="11" t="s">
        <v>466</v>
      </c>
      <c r="C30" s="11" t="s">
        <v>467</v>
      </c>
      <c r="D30" s="12">
        <v>1021011</v>
      </c>
      <c r="E30" s="12">
        <v>1</v>
      </c>
      <c r="F30" s="12"/>
      <c r="G30" s="12">
        <v>350</v>
      </c>
      <c r="H30" s="12">
        <v>6</v>
      </c>
      <c r="I30" s="12"/>
      <c r="J30" s="12" t="s">
        <v>40</v>
      </c>
      <c r="K30" s="12" t="b">
        <v>1</v>
      </c>
      <c r="L30" s="8">
        <v>2013</v>
      </c>
      <c r="M30" s="9">
        <v>12848122.140000001</v>
      </c>
      <c r="N30" s="9">
        <v>13906544.859999999</v>
      </c>
      <c r="O30" s="9">
        <v>15821291.949999999</v>
      </c>
      <c r="P30" s="9">
        <v>15503368.16</v>
      </c>
      <c r="Q30" s="13">
        <v>41578</v>
      </c>
      <c r="R30" s="13">
        <v>41578</v>
      </c>
    </row>
    <row r="31" spans="1:18">
      <c r="A31" s="10">
        <v>2013</v>
      </c>
      <c r="B31" s="11" t="s">
        <v>466</v>
      </c>
      <c r="C31" s="11" t="s">
        <v>467</v>
      </c>
      <c r="D31" s="12">
        <v>1021011</v>
      </c>
      <c r="E31" s="12">
        <v>1</v>
      </c>
      <c r="F31" s="12"/>
      <c r="G31" s="12">
        <v>210</v>
      </c>
      <c r="H31" s="12">
        <v>4</v>
      </c>
      <c r="I31" s="12" t="s">
        <v>2</v>
      </c>
      <c r="J31" s="12" t="s">
        <v>37</v>
      </c>
      <c r="K31" s="12" t="b">
        <v>0</v>
      </c>
      <c r="L31" s="8">
        <v>2013</v>
      </c>
      <c r="M31" s="9">
        <v>6000000</v>
      </c>
      <c r="N31" s="9">
        <v>3600000</v>
      </c>
      <c r="O31" s="9">
        <v>6775540.9299999997</v>
      </c>
      <c r="P31" s="9">
        <v>6456793.8399999999</v>
      </c>
      <c r="Q31" s="13">
        <v>41578</v>
      </c>
      <c r="R31" s="13">
        <v>41578</v>
      </c>
    </row>
    <row r="32" spans="1:18">
      <c r="A32" s="10">
        <v>2013</v>
      </c>
      <c r="B32" s="11" t="s">
        <v>466</v>
      </c>
      <c r="C32" s="11" t="s">
        <v>467</v>
      </c>
      <c r="D32" s="12">
        <v>1021011</v>
      </c>
      <c r="E32" s="12">
        <v>1</v>
      </c>
      <c r="F32" s="12"/>
      <c r="G32" s="12">
        <v>60</v>
      </c>
      <c r="H32" s="12" t="s">
        <v>60</v>
      </c>
      <c r="I32" s="12"/>
      <c r="J32" s="12" t="s">
        <v>61</v>
      </c>
      <c r="K32" s="12" t="b">
        <v>1</v>
      </c>
      <c r="L32" s="8">
        <v>2013</v>
      </c>
      <c r="M32" s="9">
        <v>0</v>
      </c>
      <c r="N32" s="9">
        <v>0</v>
      </c>
      <c r="O32" s="9">
        <v>0</v>
      </c>
      <c r="P32" s="9">
        <v>0</v>
      </c>
      <c r="Q32" s="13">
        <v>41578</v>
      </c>
      <c r="R32" s="13">
        <v>41578</v>
      </c>
    </row>
    <row r="33" spans="1:18">
      <c r="A33" s="10">
        <v>2013</v>
      </c>
      <c r="B33" s="11" t="s">
        <v>466</v>
      </c>
      <c r="C33" s="11" t="s">
        <v>467</v>
      </c>
      <c r="D33" s="12">
        <v>1021011</v>
      </c>
      <c r="E33" s="12">
        <v>1</v>
      </c>
      <c r="F33" s="12"/>
      <c r="G33" s="12">
        <v>740</v>
      </c>
      <c r="H33" s="12" t="s">
        <v>146</v>
      </c>
      <c r="I33" s="12"/>
      <c r="J33" s="12" t="s">
        <v>147</v>
      </c>
      <c r="K33" s="12" t="b">
        <v>0</v>
      </c>
      <c r="L33" s="8">
        <v>2013</v>
      </c>
      <c r="M33" s="9">
        <v>0</v>
      </c>
      <c r="N33" s="9">
        <v>0</v>
      </c>
      <c r="O33" s="9">
        <v>1221877.52</v>
      </c>
      <c r="P33" s="9">
        <v>1128926.8899999999</v>
      </c>
      <c r="Q33" s="13">
        <v>41578</v>
      </c>
      <c r="R33" s="13">
        <v>41578</v>
      </c>
    </row>
    <row r="34" spans="1:18">
      <c r="A34" s="10">
        <v>2013</v>
      </c>
      <c r="B34" s="11" t="s">
        <v>466</v>
      </c>
      <c r="C34" s="11" t="s">
        <v>467</v>
      </c>
      <c r="D34" s="12">
        <v>1021011</v>
      </c>
      <c r="E34" s="12">
        <v>1</v>
      </c>
      <c r="F34" s="12"/>
      <c r="G34" s="12">
        <v>470</v>
      </c>
      <c r="H34" s="12">
        <v>9.3000000000000007</v>
      </c>
      <c r="I34" s="12" t="s">
        <v>3</v>
      </c>
      <c r="J34" s="12" t="s">
        <v>4</v>
      </c>
      <c r="K34" s="12" t="b">
        <v>1</v>
      </c>
      <c r="L34" s="8">
        <v>2013</v>
      </c>
      <c r="M34" s="9">
        <v>7.5600000000000001E-2</v>
      </c>
      <c r="N34" s="9">
        <v>0.1061</v>
      </c>
      <c r="O34" s="9">
        <v>7.9699999999999993E-2</v>
      </c>
      <c r="P34" s="9">
        <v>7.8200000000000006E-2</v>
      </c>
      <c r="Q34" s="13">
        <v>41578</v>
      </c>
      <c r="R34" s="13">
        <v>41578</v>
      </c>
    </row>
    <row r="35" spans="1:18">
      <c r="A35" s="10">
        <v>2013</v>
      </c>
      <c r="B35" s="11" t="s">
        <v>466</v>
      </c>
      <c r="C35" s="11" t="s">
        <v>467</v>
      </c>
      <c r="D35" s="12">
        <v>1021011</v>
      </c>
      <c r="E35" s="12">
        <v>1</v>
      </c>
      <c r="F35" s="12"/>
      <c r="G35" s="12">
        <v>620</v>
      </c>
      <c r="H35" s="12" t="s">
        <v>129</v>
      </c>
      <c r="I35" s="12"/>
      <c r="J35" s="12" t="s">
        <v>130</v>
      </c>
      <c r="K35" s="12" t="b">
        <v>1</v>
      </c>
      <c r="L35" s="8">
        <v>2013</v>
      </c>
      <c r="M35" s="9">
        <v>0</v>
      </c>
      <c r="N35" s="9">
        <v>0</v>
      </c>
      <c r="O35" s="9">
        <v>846800</v>
      </c>
      <c r="P35" s="9">
        <v>0</v>
      </c>
      <c r="Q35" s="13">
        <v>41578</v>
      </c>
      <c r="R35" s="13">
        <v>41578</v>
      </c>
    </row>
    <row r="36" spans="1:18">
      <c r="A36" s="10">
        <v>2013</v>
      </c>
      <c r="B36" s="11" t="s">
        <v>466</v>
      </c>
      <c r="C36" s="11" t="s">
        <v>467</v>
      </c>
      <c r="D36" s="12">
        <v>1021011</v>
      </c>
      <c r="E36" s="12">
        <v>1</v>
      </c>
      <c r="F36" s="12"/>
      <c r="G36" s="12">
        <v>540</v>
      </c>
      <c r="H36" s="12" t="s">
        <v>119</v>
      </c>
      <c r="I36" s="12" t="s">
        <v>5</v>
      </c>
      <c r="J36" s="12" t="s">
        <v>120</v>
      </c>
      <c r="K36" s="12" t="b">
        <v>0</v>
      </c>
      <c r="L36" s="8">
        <v>2013</v>
      </c>
      <c r="M36" s="9">
        <v>7.5600000000000001E-2</v>
      </c>
      <c r="N36" s="9">
        <v>0.1061</v>
      </c>
      <c r="O36" s="9">
        <v>7.9699999999999993E-2</v>
      </c>
      <c r="P36" s="9">
        <v>7.8200000000000006E-2</v>
      </c>
      <c r="Q36" s="13">
        <v>41578</v>
      </c>
      <c r="R36" s="13">
        <v>41578</v>
      </c>
    </row>
    <row r="37" spans="1:18">
      <c r="A37" s="10">
        <v>2013</v>
      </c>
      <c r="B37" s="11" t="s">
        <v>466</v>
      </c>
      <c r="C37" s="11" t="s">
        <v>467</v>
      </c>
      <c r="D37" s="12">
        <v>1021011</v>
      </c>
      <c r="E37" s="12">
        <v>1</v>
      </c>
      <c r="F37" s="12"/>
      <c r="G37" s="12">
        <v>240</v>
      </c>
      <c r="H37" s="12">
        <v>4.2</v>
      </c>
      <c r="I37" s="12"/>
      <c r="J37" s="12" t="s">
        <v>86</v>
      </c>
      <c r="K37" s="12" t="b">
        <v>0</v>
      </c>
      <c r="L37" s="8">
        <v>2013</v>
      </c>
      <c r="M37" s="9">
        <v>0</v>
      </c>
      <c r="N37" s="9">
        <v>0</v>
      </c>
      <c r="O37" s="9">
        <v>2956793.84</v>
      </c>
      <c r="P37" s="9">
        <v>2956793.84</v>
      </c>
      <c r="Q37" s="13">
        <v>41578</v>
      </c>
      <c r="R37" s="13">
        <v>41578</v>
      </c>
    </row>
    <row r="38" spans="1:18">
      <c r="A38" s="10">
        <v>2013</v>
      </c>
      <c r="B38" s="11" t="s">
        <v>466</v>
      </c>
      <c r="C38" s="11" t="s">
        <v>467</v>
      </c>
      <c r="D38" s="12">
        <v>1021011</v>
      </c>
      <c r="E38" s="12">
        <v>1</v>
      </c>
      <c r="F38" s="12"/>
      <c r="G38" s="12">
        <v>450</v>
      </c>
      <c r="H38" s="12">
        <v>9.1</v>
      </c>
      <c r="I38" s="12" t="s">
        <v>3</v>
      </c>
      <c r="J38" s="12" t="s">
        <v>108</v>
      </c>
      <c r="K38" s="12" t="b">
        <v>1</v>
      </c>
      <c r="L38" s="8">
        <v>2013</v>
      </c>
      <c r="M38" s="9">
        <v>7.5600000000000001E-2</v>
      </c>
      <c r="N38" s="9">
        <v>0.1061</v>
      </c>
      <c r="O38" s="9">
        <v>7.9699999999999993E-2</v>
      </c>
      <c r="P38" s="9">
        <v>7.8200000000000006E-2</v>
      </c>
      <c r="Q38" s="13">
        <v>41578</v>
      </c>
      <c r="R38" s="13">
        <v>41578</v>
      </c>
    </row>
    <row r="39" spans="1:18">
      <c r="A39" s="10">
        <v>2013</v>
      </c>
      <c r="B39" s="11" t="s">
        <v>466</v>
      </c>
      <c r="C39" s="11" t="s">
        <v>467</v>
      </c>
      <c r="D39" s="12">
        <v>1021011</v>
      </c>
      <c r="E39" s="12">
        <v>1</v>
      </c>
      <c r="F39" s="12"/>
      <c r="G39" s="12">
        <v>250</v>
      </c>
      <c r="H39" s="12" t="s">
        <v>87</v>
      </c>
      <c r="I39" s="12"/>
      <c r="J39" s="12" t="s">
        <v>88</v>
      </c>
      <c r="K39" s="12" t="b">
        <v>0</v>
      </c>
      <c r="L39" s="8">
        <v>2013</v>
      </c>
      <c r="M39" s="9">
        <v>0</v>
      </c>
      <c r="N39" s="9">
        <v>0</v>
      </c>
      <c r="O39" s="9">
        <v>1052793.8400000001</v>
      </c>
      <c r="P39" s="9">
        <v>1052793.8400000001</v>
      </c>
      <c r="Q39" s="13">
        <v>41578</v>
      </c>
      <c r="R39" s="13">
        <v>41578</v>
      </c>
    </row>
    <row r="40" spans="1:18">
      <c r="A40" s="10">
        <v>2013</v>
      </c>
      <c r="B40" s="11" t="s">
        <v>466</v>
      </c>
      <c r="C40" s="11" t="s">
        <v>467</v>
      </c>
      <c r="D40" s="12">
        <v>1021011</v>
      </c>
      <c r="E40" s="12">
        <v>1</v>
      </c>
      <c r="F40" s="12"/>
      <c r="G40" s="12">
        <v>690</v>
      </c>
      <c r="H40" s="12" t="s">
        <v>138</v>
      </c>
      <c r="I40" s="12"/>
      <c r="J40" s="12" t="s">
        <v>139</v>
      </c>
      <c r="K40" s="12" t="b">
        <v>1</v>
      </c>
      <c r="L40" s="8">
        <v>2013</v>
      </c>
      <c r="M40" s="9">
        <v>0</v>
      </c>
      <c r="N40" s="9">
        <v>0</v>
      </c>
      <c r="O40" s="9">
        <v>0</v>
      </c>
      <c r="P40" s="9">
        <v>0</v>
      </c>
      <c r="Q40" s="13">
        <v>41578</v>
      </c>
      <c r="R40" s="13">
        <v>41578</v>
      </c>
    </row>
    <row r="41" spans="1:18">
      <c r="A41" s="10">
        <v>2013</v>
      </c>
      <c r="B41" s="11" t="s">
        <v>466</v>
      </c>
      <c r="C41" s="11" t="s">
        <v>467</v>
      </c>
      <c r="D41" s="12">
        <v>1021011</v>
      </c>
      <c r="E41" s="12">
        <v>1</v>
      </c>
      <c r="F41" s="12"/>
      <c r="G41" s="12">
        <v>480</v>
      </c>
      <c r="H41" s="12">
        <v>9.4</v>
      </c>
      <c r="I41" s="12" t="s">
        <v>472</v>
      </c>
      <c r="J41" s="12" t="s">
        <v>110</v>
      </c>
      <c r="K41" s="12" t="b">
        <v>0</v>
      </c>
      <c r="L41" s="8">
        <v>2013</v>
      </c>
      <c r="M41" s="9">
        <v>7.5600000000000001E-2</v>
      </c>
      <c r="N41" s="9">
        <v>0.1061</v>
      </c>
      <c r="O41" s="9">
        <v>7.9699999999999993E-2</v>
      </c>
      <c r="P41" s="9">
        <v>7.8200000000000006E-2</v>
      </c>
      <c r="Q41" s="13">
        <v>41578</v>
      </c>
      <c r="R41" s="13">
        <v>41578</v>
      </c>
    </row>
    <row r="42" spans="1:18">
      <c r="A42" s="10">
        <v>2013</v>
      </c>
      <c r="B42" s="11" t="s">
        <v>466</v>
      </c>
      <c r="C42" s="11" t="s">
        <v>467</v>
      </c>
      <c r="D42" s="12">
        <v>1021011</v>
      </c>
      <c r="E42" s="12">
        <v>1</v>
      </c>
      <c r="F42" s="12"/>
      <c r="G42" s="12">
        <v>390</v>
      </c>
      <c r="H42" s="12">
        <v>6.3</v>
      </c>
      <c r="I42" s="12" t="s">
        <v>6</v>
      </c>
      <c r="J42" s="12" t="s">
        <v>104</v>
      </c>
      <c r="K42" s="12" t="b">
        <v>0</v>
      </c>
      <c r="L42" s="8">
        <v>2013</v>
      </c>
      <c r="M42" s="9">
        <v>0.40810000000000002</v>
      </c>
      <c r="N42" s="9">
        <v>0.44769999999999999</v>
      </c>
      <c r="O42" s="9">
        <v>0.44409999999999999</v>
      </c>
      <c r="P42" s="9">
        <v>0.45019999999999999</v>
      </c>
      <c r="Q42" s="13">
        <v>41578</v>
      </c>
      <c r="R42" s="13">
        <v>41578</v>
      </c>
    </row>
    <row r="43" spans="1:18">
      <c r="A43" s="10">
        <v>2013</v>
      </c>
      <c r="B43" s="11" t="s">
        <v>466</v>
      </c>
      <c r="C43" s="11" t="s">
        <v>467</v>
      </c>
      <c r="D43" s="12">
        <v>1021011</v>
      </c>
      <c r="E43" s="12">
        <v>1</v>
      </c>
      <c r="F43" s="12"/>
      <c r="G43" s="12">
        <v>520</v>
      </c>
      <c r="H43" s="12" t="s">
        <v>116</v>
      </c>
      <c r="I43" s="12"/>
      <c r="J43" s="12" t="s">
        <v>7</v>
      </c>
      <c r="K43" s="12" t="b">
        <v>1</v>
      </c>
      <c r="L43" s="8">
        <v>2013</v>
      </c>
      <c r="M43" s="9">
        <v>0</v>
      </c>
      <c r="N43" s="9">
        <v>0</v>
      </c>
      <c r="O43" s="9">
        <v>0</v>
      </c>
      <c r="P43" s="9">
        <v>0</v>
      </c>
      <c r="Q43" s="13">
        <v>41578</v>
      </c>
      <c r="R43" s="13">
        <v>41578</v>
      </c>
    </row>
    <row r="44" spans="1:18">
      <c r="A44" s="10">
        <v>2013</v>
      </c>
      <c r="B44" s="11" t="s">
        <v>466</v>
      </c>
      <c r="C44" s="11" t="s">
        <v>467</v>
      </c>
      <c r="D44" s="12">
        <v>1021011</v>
      </c>
      <c r="E44" s="12">
        <v>1</v>
      </c>
      <c r="F44" s="12"/>
      <c r="G44" s="12">
        <v>780</v>
      </c>
      <c r="H44" s="12" t="s">
        <v>153</v>
      </c>
      <c r="I44" s="12"/>
      <c r="J44" s="12" t="s">
        <v>154</v>
      </c>
      <c r="K44" s="12" t="b">
        <v>1</v>
      </c>
      <c r="L44" s="8">
        <v>2013</v>
      </c>
      <c r="M44" s="9">
        <v>0</v>
      </c>
      <c r="N44" s="9">
        <v>0</v>
      </c>
      <c r="O44" s="9">
        <v>0</v>
      </c>
      <c r="P44" s="9">
        <v>0</v>
      </c>
      <c r="Q44" s="13">
        <v>41578</v>
      </c>
      <c r="R44" s="13">
        <v>41578</v>
      </c>
    </row>
    <row r="45" spans="1:18">
      <c r="A45" s="10">
        <v>2013</v>
      </c>
      <c r="B45" s="11" t="s">
        <v>466</v>
      </c>
      <c r="C45" s="11" t="s">
        <v>467</v>
      </c>
      <c r="D45" s="12">
        <v>1021011</v>
      </c>
      <c r="E45" s="12">
        <v>1</v>
      </c>
      <c r="F45" s="12"/>
      <c r="G45" s="12">
        <v>190</v>
      </c>
      <c r="H45" s="12">
        <v>2.2000000000000002</v>
      </c>
      <c r="I45" s="12"/>
      <c r="J45" s="12" t="s">
        <v>82</v>
      </c>
      <c r="K45" s="12" t="b">
        <v>0</v>
      </c>
      <c r="L45" s="8">
        <v>2013</v>
      </c>
      <c r="M45" s="9">
        <v>9401653.7300000004</v>
      </c>
      <c r="N45" s="9">
        <v>4907950.29</v>
      </c>
      <c r="O45" s="9">
        <v>11277160.42</v>
      </c>
      <c r="P45" s="9">
        <v>9599595.8900000006</v>
      </c>
      <c r="Q45" s="13">
        <v>41578</v>
      </c>
      <c r="R45" s="13">
        <v>41578</v>
      </c>
    </row>
    <row r="46" spans="1:18">
      <c r="A46" s="10">
        <v>2013</v>
      </c>
      <c r="B46" s="11" t="s">
        <v>466</v>
      </c>
      <c r="C46" s="11" t="s">
        <v>467</v>
      </c>
      <c r="D46" s="12">
        <v>1021011</v>
      </c>
      <c r="E46" s="12">
        <v>1</v>
      </c>
      <c r="F46" s="12"/>
      <c r="G46" s="12">
        <v>420</v>
      </c>
      <c r="H46" s="12">
        <v>8.1</v>
      </c>
      <c r="I46" s="12" t="s">
        <v>8</v>
      </c>
      <c r="J46" s="12" t="s">
        <v>106</v>
      </c>
      <c r="K46" s="12" t="b">
        <v>0</v>
      </c>
      <c r="L46" s="8">
        <v>2013</v>
      </c>
      <c r="M46" s="9">
        <v>686104.21</v>
      </c>
      <c r="N46" s="9">
        <v>2283237.5499999998</v>
      </c>
      <c r="O46" s="9">
        <v>697224.01</v>
      </c>
      <c r="P46" s="9">
        <v>2632856.16</v>
      </c>
      <c r="Q46" s="13">
        <v>41578</v>
      </c>
      <c r="R46" s="13">
        <v>41578</v>
      </c>
    </row>
    <row r="47" spans="1:18">
      <c r="A47" s="10">
        <v>2013</v>
      </c>
      <c r="B47" s="11" t="s">
        <v>466</v>
      </c>
      <c r="C47" s="11" t="s">
        <v>467</v>
      </c>
      <c r="D47" s="12">
        <v>1021011</v>
      </c>
      <c r="E47" s="12">
        <v>1</v>
      </c>
      <c r="F47" s="12"/>
      <c r="G47" s="12">
        <v>720</v>
      </c>
      <c r="H47" s="12" t="s">
        <v>143</v>
      </c>
      <c r="I47" s="12"/>
      <c r="J47" s="12" t="s">
        <v>144</v>
      </c>
      <c r="K47" s="12" t="b">
        <v>0</v>
      </c>
      <c r="L47" s="8">
        <v>2013</v>
      </c>
      <c r="M47" s="9">
        <v>0</v>
      </c>
      <c r="N47" s="9">
        <v>0</v>
      </c>
      <c r="O47" s="9">
        <v>0</v>
      </c>
      <c r="P47" s="9">
        <v>0</v>
      </c>
      <c r="Q47" s="13">
        <v>41578</v>
      </c>
      <c r="R47" s="13">
        <v>41578</v>
      </c>
    </row>
    <row r="48" spans="1:18">
      <c r="A48" s="10">
        <v>2013</v>
      </c>
      <c r="B48" s="11" t="s">
        <v>466</v>
      </c>
      <c r="C48" s="11" t="s">
        <v>467</v>
      </c>
      <c r="D48" s="12">
        <v>1021011</v>
      </c>
      <c r="E48" s="12">
        <v>1</v>
      </c>
      <c r="F48" s="12"/>
      <c r="G48" s="12">
        <v>70</v>
      </c>
      <c r="H48" s="12" t="s">
        <v>62</v>
      </c>
      <c r="I48" s="12"/>
      <c r="J48" s="12" t="s">
        <v>63</v>
      </c>
      <c r="K48" s="12" t="b">
        <v>1</v>
      </c>
      <c r="L48" s="8">
        <v>2013</v>
      </c>
      <c r="M48" s="9">
        <v>0</v>
      </c>
      <c r="N48" s="9">
        <v>0</v>
      </c>
      <c r="O48" s="9">
        <v>0</v>
      </c>
      <c r="P48" s="9">
        <v>0</v>
      </c>
      <c r="Q48" s="13">
        <v>41578</v>
      </c>
      <c r="R48" s="13">
        <v>41578</v>
      </c>
    </row>
    <row r="49" spans="1:18">
      <c r="A49" s="10">
        <v>2013</v>
      </c>
      <c r="B49" s="11" t="s">
        <v>466</v>
      </c>
      <c r="C49" s="11" t="s">
        <v>467</v>
      </c>
      <c r="D49" s="12">
        <v>1021011</v>
      </c>
      <c r="E49" s="12">
        <v>1</v>
      </c>
      <c r="F49" s="12"/>
      <c r="G49" s="12">
        <v>50</v>
      </c>
      <c r="H49" s="12" t="s">
        <v>58</v>
      </c>
      <c r="I49" s="12"/>
      <c r="J49" s="12" t="s">
        <v>59</v>
      </c>
      <c r="K49" s="12" t="b">
        <v>1</v>
      </c>
      <c r="L49" s="8">
        <v>2013</v>
      </c>
      <c r="M49" s="9">
        <v>0</v>
      </c>
      <c r="N49" s="9">
        <v>0</v>
      </c>
      <c r="O49" s="9">
        <v>0</v>
      </c>
      <c r="P49" s="9">
        <v>0</v>
      </c>
      <c r="Q49" s="13">
        <v>41578</v>
      </c>
      <c r="R49" s="13">
        <v>41578</v>
      </c>
    </row>
    <row r="50" spans="1:18">
      <c r="A50" s="10">
        <v>2013</v>
      </c>
      <c r="B50" s="11" t="s">
        <v>466</v>
      </c>
      <c r="C50" s="11" t="s">
        <v>467</v>
      </c>
      <c r="D50" s="12">
        <v>1021011</v>
      </c>
      <c r="E50" s="12">
        <v>1</v>
      </c>
      <c r="F50" s="12"/>
      <c r="G50" s="12">
        <v>130</v>
      </c>
      <c r="H50" s="12">
        <v>2.1</v>
      </c>
      <c r="I50" s="12"/>
      <c r="J50" s="12" t="s">
        <v>71</v>
      </c>
      <c r="K50" s="12" t="b">
        <v>1</v>
      </c>
      <c r="L50" s="8">
        <v>2013</v>
      </c>
      <c r="M50" s="9">
        <v>25207681.969999999</v>
      </c>
      <c r="N50" s="9">
        <v>26129253.640000001</v>
      </c>
      <c r="O50" s="9">
        <v>29218500.440000001</v>
      </c>
      <c r="P50" s="9">
        <v>26785030.300000001</v>
      </c>
      <c r="Q50" s="13">
        <v>41578</v>
      </c>
      <c r="R50" s="13">
        <v>41578</v>
      </c>
    </row>
    <row r="51" spans="1:18">
      <c r="A51" s="10">
        <v>2013</v>
      </c>
      <c r="B51" s="11" t="s">
        <v>466</v>
      </c>
      <c r="C51" s="11" t="s">
        <v>467</v>
      </c>
      <c r="D51" s="12">
        <v>1021011</v>
      </c>
      <c r="E51" s="12">
        <v>1</v>
      </c>
      <c r="F51" s="12"/>
      <c r="G51" s="12">
        <v>180</v>
      </c>
      <c r="H51" s="12" t="s">
        <v>80</v>
      </c>
      <c r="I51" s="12"/>
      <c r="J51" s="12" t="s">
        <v>81</v>
      </c>
      <c r="K51" s="12" t="b">
        <v>0</v>
      </c>
      <c r="L51" s="8">
        <v>2013</v>
      </c>
      <c r="M51" s="9">
        <v>464051.55</v>
      </c>
      <c r="N51" s="9">
        <v>755389.64</v>
      </c>
      <c r="O51" s="9">
        <v>884400</v>
      </c>
      <c r="P51" s="9">
        <v>791159.57</v>
      </c>
      <c r="Q51" s="13">
        <v>41578</v>
      </c>
      <c r="R51" s="13">
        <v>41578</v>
      </c>
    </row>
    <row r="52" spans="1:18">
      <c r="A52" s="10">
        <v>2013</v>
      </c>
      <c r="B52" s="11" t="s">
        <v>466</v>
      </c>
      <c r="C52" s="11" t="s">
        <v>467</v>
      </c>
      <c r="D52" s="12">
        <v>1021011</v>
      </c>
      <c r="E52" s="12">
        <v>1</v>
      </c>
      <c r="F52" s="12"/>
      <c r="G52" s="12">
        <v>510</v>
      </c>
      <c r="H52" s="12">
        <v>9.6999999999999993</v>
      </c>
      <c r="I52" s="12"/>
      <c r="J52" s="12" t="s">
        <v>9</v>
      </c>
      <c r="K52" s="12" t="b">
        <v>1</v>
      </c>
      <c r="L52" s="8">
        <v>2013</v>
      </c>
      <c r="M52" s="9">
        <v>0</v>
      </c>
      <c r="N52" s="9">
        <v>0</v>
      </c>
      <c r="O52" s="9">
        <v>0</v>
      </c>
      <c r="P52" s="9">
        <v>0</v>
      </c>
      <c r="Q52" s="13">
        <v>41578</v>
      </c>
      <c r="R52" s="13">
        <v>41578</v>
      </c>
    </row>
    <row r="53" spans="1:18">
      <c r="A53" s="10">
        <v>2013</v>
      </c>
      <c r="B53" s="11" t="s">
        <v>466</v>
      </c>
      <c r="C53" s="11" t="s">
        <v>467</v>
      </c>
      <c r="D53" s="12">
        <v>1021011</v>
      </c>
      <c r="E53" s="12">
        <v>1</v>
      </c>
      <c r="F53" s="12"/>
      <c r="G53" s="12">
        <v>680</v>
      </c>
      <c r="H53" s="12" t="s">
        <v>136</v>
      </c>
      <c r="I53" s="12"/>
      <c r="J53" s="12" t="s">
        <v>137</v>
      </c>
      <c r="K53" s="12" t="b">
        <v>1</v>
      </c>
      <c r="L53" s="8">
        <v>2013</v>
      </c>
      <c r="M53" s="9">
        <v>965905.76</v>
      </c>
      <c r="N53" s="9">
        <v>0</v>
      </c>
      <c r="O53" s="9">
        <v>0</v>
      </c>
      <c r="P53" s="9">
        <v>931390.39</v>
      </c>
      <c r="Q53" s="13">
        <v>41578</v>
      </c>
      <c r="R53" s="13">
        <v>41578</v>
      </c>
    </row>
    <row r="54" spans="1:18">
      <c r="A54" s="10">
        <v>2013</v>
      </c>
      <c r="B54" s="11" t="s">
        <v>466</v>
      </c>
      <c r="C54" s="11" t="s">
        <v>467</v>
      </c>
      <c r="D54" s="12">
        <v>1021011</v>
      </c>
      <c r="E54" s="12">
        <v>1</v>
      </c>
      <c r="F54" s="12"/>
      <c r="G54" s="12">
        <v>40</v>
      </c>
      <c r="H54" s="12" t="s">
        <v>56</v>
      </c>
      <c r="I54" s="12"/>
      <c r="J54" s="12" t="s">
        <v>57</v>
      </c>
      <c r="K54" s="12" t="b">
        <v>1</v>
      </c>
      <c r="L54" s="8">
        <v>2013</v>
      </c>
      <c r="M54" s="9">
        <v>0</v>
      </c>
      <c r="N54" s="9">
        <v>0</v>
      </c>
      <c r="O54" s="9">
        <v>0</v>
      </c>
      <c r="P54" s="9">
        <v>0</v>
      </c>
      <c r="Q54" s="13">
        <v>41578</v>
      </c>
      <c r="R54" s="13">
        <v>41578</v>
      </c>
    </row>
    <row r="55" spans="1:18">
      <c r="A55" s="10">
        <v>2013</v>
      </c>
      <c r="B55" s="11" t="s">
        <v>466</v>
      </c>
      <c r="C55" s="11" t="s">
        <v>467</v>
      </c>
      <c r="D55" s="12">
        <v>1021011</v>
      </c>
      <c r="E55" s="12">
        <v>1</v>
      </c>
      <c r="F55" s="12"/>
      <c r="G55" s="12">
        <v>100</v>
      </c>
      <c r="H55" s="12" t="s">
        <v>67</v>
      </c>
      <c r="I55" s="12"/>
      <c r="J55" s="12" t="s">
        <v>68</v>
      </c>
      <c r="K55" s="12" t="b">
        <v>1</v>
      </c>
      <c r="L55" s="8">
        <v>2013</v>
      </c>
      <c r="M55" s="9">
        <v>1337141.05</v>
      </c>
      <c r="N55" s="9">
        <v>26005.759999999998</v>
      </c>
      <c r="O55" s="9">
        <v>100000</v>
      </c>
      <c r="P55" s="9">
        <v>159888.32000000001</v>
      </c>
      <c r="Q55" s="13">
        <v>41578</v>
      </c>
      <c r="R55" s="13">
        <v>41578</v>
      </c>
    </row>
    <row r="56" spans="1:18">
      <c r="A56" s="10">
        <v>2013</v>
      </c>
      <c r="B56" s="11" t="s">
        <v>466</v>
      </c>
      <c r="C56" s="11" t="s">
        <v>467</v>
      </c>
      <c r="D56" s="12">
        <v>1021011</v>
      </c>
      <c r="E56" s="12">
        <v>1</v>
      </c>
      <c r="F56" s="12"/>
      <c r="G56" s="12">
        <v>200</v>
      </c>
      <c r="H56" s="12">
        <v>3</v>
      </c>
      <c r="I56" s="12" t="s">
        <v>10</v>
      </c>
      <c r="J56" s="12" t="s">
        <v>36</v>
      </c>
      <c r="K56" s="12" t="b">
        <v>0</v>
      </c>
      <c r="L56" s="8">
        <v>2013</v>
      </c>
      <c r="M56" s="9">
        <v>-3124459.69</v>
      </c>
      <c r="N56" s="9">
        <v>26238.400000000001</v>
      </c>
      <c r="O56" s="9">
        <v>-4871540.93</v>
      </c>
      <c r="P56" s="9">
        <v>-1946205.92</v>
      </c>
      <c r="Q56" s="13">
        <v>41578</v>
      </c>
      <c r="R56" s="13">
        <v>41578</v>
      </c>
    </row>
    <row r="57" spans="1:18">
      <c r="A57" s="10">
        <v>2013</v>
      </c>
      <c r="B57" s="11" t="s">
        <v>466</v>
      </c>
      <c r="C57" s="11" t="s">
        <v>467</v>
      </c>
      <c r="D57" s="12">
        <v>1021011</v>
      </c>
      <c r="E57" s="12">
        <v>1</v>
      </c>
      <c r="F57" s="12"/>
      <c r="G57" s="12">
        <v>640</v>
      </c>
      <c r="H57" s="12">
        <v>11.5</v>
      </c>
      <c r="I57" s="12"/>
      <c r="J57" s="12" t="s">
        <v>132</v>
      </c>
      <c r="K57" s="12" t="b">
        <v>1</v>
      </c>
      <c r="L57" s="8">
        <v>2013</v>
      </c>
      <c r="M57" s="9">
        <v>0</v>
      </c>
      <c r="N57" s="9">
        <v>0</v>
      </c>
      <c r="O57" s="9">
        <v>0</v>
      </c>
      <c r="P57" s="9">
        <v>0</v>
      </c>
      <c r="Q57" s="13">
        <v>41578</v>
      </c>
      <c r="R57" s="13">
        <v>41578</v>
      </c>
    </row>
    <row r="58" spans="1:18">
      <c r="A58" s="10">
        <v>2013</v>
      </c>
      <c r="B58" s="11" t="s">
        <v>466</v>
      </c>
      <c r="C58" s="11" t="s">
        <v>467</v>
      </c>
      <c r="D58" s="12">
        <v>1021011</v>
      </c>
      <c r="E58" s="12">
        <v>1</v>
      </c>
      <c r="F58" s="12"/>
      <c r="G58" s="12">
        <v>650</v>
      </c>
      <c r="H58" s="12">
        <v>11.6</v>
      </c>
      <c r="I58" s="12"/>
      <c r="J58" s="12" t="s">
        <v>133</v>
      </c>
      <c r="K58" s="12" t="b">
        <v>1</v>
      </c>
      <c r="L58" s="8">
        <v>2013</v>
      </c>
      <c r="M58" s="9">
        <v>0</v>
      </c>
      <c r="N58" s="9">
        <v>0</v>
      </c>
      <c r="O58" s="9">
        <v>0</v>
      </c>
      <c r="P58" s="9">
        <v>0</v>
      </c>
      <c r="Q58" s="13">
        <v>41578</v>
      </c>
      <c r="R58" s="13">
        <v>41578</v>
      </c>
    </row>
    <row r="59" spans="1:18">
      <c r="A59" s="10">
        <v>2013</v>
      </c>
      <c r="B59" s="11" t="s">
        <v>466</v>
      </c>
      <c r="C59" s="11" t="s">
        <v>467</v>
      </c>
      <c r="D59" s="12">
        <v>1021011</v>
      </c>
      <c r="E59" s="12">
        <v>1</v>
      </c>
      <c r="F59" s="12"/>
      <c r="G59" s="12">
        <v>430</v>
      </c>
      <c r="H59" s="12">
        <v>8.1999999999999993</v>
      </c>
      <c r="I59" s="12" t="s">
        <v>11</v>
      </c>
      <c r="J59" s="12" t="s">
        <v>107</v>
      </c>
      <c r="K59" s="12" t="b">
        <v>0</v>
      </c>
      <c r="L59" s="8">
        <v>2013</v>
      </c>
      <c r="M59" s="9">
        <v>686104.21</v>
      </c>
      <c r="N59" s="9">
        <v>2283237.5499999998</v>
      </c>
      <c r="O59" s="9">
        <v>3654017.85</v>
      </c>
      <c r="P59" s="9">
        <v>5589650</v>
      </c>
      <c r="Q59" s="13">
        <v>41578</v>
      </c>
      <c r="R59" s="13">
        <v>41578</v>
      </c>
    </row>
    <row r="60" spans="1:18">
      <c r="A60" s="10">
        <v>2013</v>
      </c>
      <c r="B60" s="11" t="s">
        <v>466</v>
      </c>
      <c r="C60" s="11" t="s">
        <v>467</v>
      </c>
      <c r="D60" s="12">
        <v>1021011</v>
      </c>
      <c r="E60" s="12">
        <v>1</v>
      </c>
      <c r="F60" s="12"/>
      <c r="G60" s="12">
        <v>30</v>
      </c>
      <c r="H60" s="12" t="s">
        <v>54</v>
      </c>
      <c r="I60" s="12"/>
      <c r="J60" s="12" t="s">
        <v>55</v>
      </c>
      <c r="K60" s="12" t="b">
        <v>1</v>
      </c>
      <c r="L60" s="8">
        <v>2013</v>
      </c>
      <c r="M60" s="9">
        <v>0</v>
      </c>
      <c r="N60" s="9">
        <v>0</v>
      </c>
      <c r="O60" s="9">
        <v>0</v>
      </c>
      <c r="P60" s="9">
        <v>0</v>
      </c>
      <c r="Q60" s="13">
        <v>41578</v>
      </c>
      <c r="R60" s="13">
        <v>41578</v>
      </c>
    </row>
    <row r="61" spans="1:18">
      <c r="A61" s="10">
        <v>2013</v>
      </c>
      <c r="B61" s="11" t="s">
        <v>466</v>
      </c>
      <c r="C61" s="11" t="s">
        <v>467</v>
      </c>
      <c r="D61" s="12">
        <v>1021011</v>
      </c>
      <c r="E61" s="12">
        <v>1</v>
      </c>
      <c r="F61" s="12"/>
      <c r="G61" s="12">
        <v>760</v>
      </c>
      <c r="H61" s="12">
        <v>12.4</v>
      </c>
      <c r="I61" s="12"/>
      <c r="J61" s="12" t="s">
        <v>150</v>
      </c>
      <c r="K61" s="12" t="b">
        <v>1</v>
      </c>
      <c r="L61" s="8">
        <v>2013</v>
      </c>
      <c r="M61" s="9">
        <v>0</v>
      </c>
      <c r="N61" s="9">
        <v>0</v>
      </c>
      <c r="O61" s="9">
        <v>0</v>
      </c>
      <c r="P61" s="9">
        <v>0</v>
      </c>
      <c r="Q61" s="13">
        <v>41578</v>
      </c>
      <c r="R61" s="13">
        <v>41578</v>
      </c>
    </row>
    <row r="62" spans="1:18">
      <c r="A62" s="10">
        <v>2013</v>
      </c>
      <c r="B62" s="11" t="s">
        <v>466</v>
      </c>
      <c r="C62" s="11" t="s">
        <v>467</v>
      </c>
      <c r="D62" s="12">
        <v>1021011</v>
      </c>
      <c r="E62" s="12">
        <v>1</v>
      </c>
      <c r="F62" s="12"/>
      <c r="G62" s="12">
        <v>505</v>
      </c>
      <c r="H62" s="12" t="s">
        <v>113</v>
      </c>
      <c r="I62" s="12" t="s">
        <v>12</v>
      </c>
      <c r="J62" s="12" t="s">
        <v>114</v>
      </c>
      <c r="K62" s="12" t="b">
        <v>0</v>
      </c>
      <c r="L62" s="8">
        <v>2013</v>
      </c>
      <c r="M62" s="9">
        <v>6.4299999999999996E-2</v>
      </c>
      <c r="N62" s="9">
        <v>7.4300000000000005E-2</v>
      </c>
      <c r="O62" s="9">
        <v>2.24E-2</v>
      </c>
      <c r="P62" s="9">
        <v>8.1100000000000005E-2</v>
      </c>
      <c r="Q62" s="13">
        <v>41578</v>
      </c>
      <c r="R62" s="13">
        <v>41578</v>
      </c>
    </row>
  </sheetData>
  <customSheetViews>
    <customSheetView guid="{9360F695-77C0-4418-82C5-829A762C44E9}" state="hidden">
      <selection activeCell="A4" sqref="A4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Zał.1_WPF_bazowy</vt:lpstr>
      <vt:lpstr>definicja</vt:lpstr>
      <vt:lpstr>DaneZrodlowe</vt:lpstr>
      <vt:lpstr>DaneZrodloweDoWsk</vt:lpstr>
      <vt:lpstr>Zał.1_WPF_bazowy!Obszar_wydruku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skarbnik</cp:lastModifiedBy>
  <cp:lastPrinted>2013-11-05T09:25:49Z</cp:lastPrinted>
  <dcterms:created xsi:type="dcterms:W3CDTF">2010-09-17T02:30:46Z</dcterms:created>
  <dcterms:modified xsi:type="dcterms:W3CDTF">2013-11-18T14:02:29Z</dcterms:modified>
</cp:coreProperties>
</file>