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<sst xmlns="http://schemas.openxmlformats.org/spreadsheetml/2006/main" count="5590" uniqueCount="485">
  <si>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</si>
  <si>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</si>
  <si>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</si>
  <si>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LVII/413/2018                  Rady Miasta Brzeziny z dnia 27 września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</si>
  <si>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</si>
  <si>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</si>
  <si>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</si>
  <si>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</si>
  <si>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</si>
  <si>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</si>
  <si>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</si>
  <si>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</si>
  <si>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</si>
  <si>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</si>
  <si>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</si>
  <si>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</si>
  <si>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</si>
  <si>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</si>
  <si>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</si>
  <si>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</si>
  <si>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</si>
  <si>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</si>
  <si>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</si>
  <si>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</si>
  <si>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</si>
  <si>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</si>
  <si>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</si>
  <si>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</si>
  <si>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</si>
  <si>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</si>
  <si>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</si>
  <si>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</si>
  <si>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</si>
  <si>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</si>
  <si>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</si>
  <si>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</si>
  <si>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</si>
  <si>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</si>
  <si>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</si>
  <si>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</si>
  <si>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</si>
  <si>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</si>
  <si>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</si>
  <si>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</si>
  <si>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</si>
  <si>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</si>
  <si>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</si>
  <si>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</si>
  <si>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</si>
  <si>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</si>
  <si>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</si>
  <si>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</si>
  <si>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</si>
  <si>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</si>
  <si>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</si>
  <si>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</si>
  <si>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</si>
  <si>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</si>
  <si>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</si>
  <si>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</si>
  <si>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</si>
  <si>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</si>
  <si>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</si>
  <si>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</si>
  <si>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</si>
  <si>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</si>
  <si>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</si>
  <si>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</si>
  <si>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</si>
  <si>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</si>
  <si>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</si>
  <si>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</si>
  <si>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</si>
  <si>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</si>
  <si>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</si>
  <si>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</si>
  <si>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</si>
  <si>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</si>
  <si>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</si>
  <si>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</si>
  <si>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</si>
  <si>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</si>
  <si>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</si>
  <si>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</si>
  <si>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</si>
  <si>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</si>
  <si>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</si>
  <si>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</si>
  <si>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</si>
  <si>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</si>
  <si>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</si>
  <si>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</si>
  <si>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</si>
  <si>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</si>
  <si>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</si>
  <si>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</si>
  <si>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</si>
  <si>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</si>
  <si>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</si>
  <si>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</si>
  <si>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</si>
  <si>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</si>
  <si>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</si>
  <si>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</si>
  <si>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</si>
  <si>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</si>
  <si>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</si>
  <si>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</si>
  <si>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</si>
  <si>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</si>
  <si>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</si>
  <si>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</si>
  <si>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</si>
  <si>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</si>
  <si>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</si>
  <si>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</si>
  <si>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</si>
  <si>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</si>
  <si>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</si>
  <si>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</si>
  <si>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</si>
  <si>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</si>
  <si>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</si>
  <si>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</si>
  <si>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</si>
  <si>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</si>
  <si>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</si>
  <si>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</si>
  <si>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</si>
  <si>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</si>
  <si>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</si>
  <si>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</si>
  <si>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</si>
  <si>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</si>
  <si>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</si>
  <si>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</si>
  <si>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</si>
  <si>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</si>
  <si>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</si>
  <si>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</si>
  <si>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</si>
  <si>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</si>
  <si>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</si>
  <si>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</si>
  <si>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</si>
  <si>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</si>
  <si>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</si>
  <si>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</si>
  <si>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</si>
  <si>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</si>
  <si>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</si>
  <si>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</si>
  <si>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</si>
  <si>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</si>
  <si>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</si>
  <si>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</si>
  <si>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</si>
  <si>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</si>
  <si>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</si>
  <si>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</si>
  <si>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</si>
  <si>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</si>
  <si>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</si>
  <si>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</si>
  <si>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</si>
  <si>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</si>
  <si>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</si>
  <si>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</si>
  <si>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</si>
  <si>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</si>
  <si>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</si>
  <si>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</si>
  <si>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</si>
  <si>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</si>
  <si>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</si>
  <si>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</si>
  <si>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</si>
  <si>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</si>
  <si>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</si>
  <si>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</si>
  <si>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</si>
  <si>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</si>
  <si>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</si>
  <si>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</si>
  <si>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</si>
  <si>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</si>
  <si>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</si>
  <si>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</si>
  <si>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</si>
  <si>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</si>
  <si>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</si>
  <si>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</si>
  <si>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</si>
  <si>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</si>
  <si>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</si>
  <si>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</si>
  <si>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</si>
  <si>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</si>
  <si>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</si>
  <si>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</si>
  <si>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</si>
  <si>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</si>
  <si>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</si>
  <si>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</si>
  <si>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</si>
  <si>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</si>
  <si>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</si>
  <si>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</si>
  <si>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</si>
  <si>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</si>
  <si>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</si>
  <si>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</si>
  <si>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</si>
  <si>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</si>
  <si>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</si>
  <si>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</si>
  <si>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</si>
  <si>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</si>
  <si>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</si>
  <si>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</si>
  <si>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</si>
  <si>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</si>
  <si>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</si>
  <si>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</si>
  <si>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</si>
  <si>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</si>
  <si>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</si>
  <si>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</si>
  <si>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</si>
  <si>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</si>
  <si>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</si>
  <si>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</si>
  <si>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</si>
  <si>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</si>
  <si>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</si>
  <si>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</si>
  <si>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</si>
  <si>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</si>
  <si>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</si>
  <si>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</si>
  <si>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</si>
  <si>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</si>
  <si>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</si>
  <si>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</si>
  <si>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</si>
  <si>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</si>
  <si>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</si>
  <si>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</si>
  <si>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</si>
  <si>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</si>
  <si>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</si>
  <si>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</si>
  <si>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</si>
  <si>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</si>
  <si>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</si>
  <si>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</si>
  <si>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</si>
  <si>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</si>
  <si>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</si>
  <si>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</si>
  <si>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</si>
  <si>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</si>
  <si>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</si>
  <si>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</si>
  <si>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</si>
  <si>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</si>
  <si>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</si>
  <si>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</si>
  <si>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</si>
  <si>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</si>
  <si>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</si>
  <si>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</si>
  <si>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</si>
  <si>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</si>
  <si>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</si>
  <si>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</si>
  <si>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</si>
  <si>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</si>
  <si>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</si>
  <si>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</si>
  <si>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</si>
  <si>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</si>
  <si>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</si>
  <si>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</si>
  <si>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</si>
  <si>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</si>
  <si>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</si>
  <si>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</si>
  <si>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</si>
  <si>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</si>
  <si>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</si>
  <si>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</si>
  <si>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</si>
  <si>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</si>
  <si>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</si>
  <si>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</si>
  <si>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</si>
  <si>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</si>
  <si>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</si>
  <si>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</si>
  <si>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</si>
  <si>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</si>
  <si>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</si>
  <si>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</si>
  <si>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</si>
  <si>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</si>
  <si>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</si>
  <si>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</si>
  <si>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</si>
  <si>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</si>
  <si>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</si>
  <si>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</si>
  <si>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</si>
  <si>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</si>
  <si>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</si>
  <si>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</si>
  <si>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</si>
  <si>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</si>
  <si>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</si>
  <si>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</si>
  <si>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</si>
  <si>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</si>
  <si>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</si>
  <si>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</si>
  <si>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</si>
  <si>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</si>
  <si>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</si>
  <si>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</si>
  <si>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</si>
  <si>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</si>
  <si>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</si>
  <si>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</si>
  <si>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</si>
  <si>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</si>
  <si>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</si>
  <si>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</si>
  <si>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</si>
  <si>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</si>
  <si>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</si>
  <si>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</si>
  <si>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</si>
  <si>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</si>
  <si>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</si>
  <si>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</si>
  <si>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</si>
  <si>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</si>
  <si>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</si>
  <si>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</si>
  <si>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</si>
  <si>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</si>
  <si>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</si>
  <si>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</si>
  <si>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</si>
  <si>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</si>
  <si>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</si>
  <si>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</si>
  <si>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</si>
  <si>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</si>
  <si>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</si>
  <si>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</si>
  <si>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</si>
  <si>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</si>
  <si>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</si>
  <si>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</si>
  <si>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</si>
  <si>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</si>
  <si>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</si>
  <si>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</si>
  <si>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</si>
  <si>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</si>
  <si>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</si>
  <si>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</si>
  <si>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</si>
  <si>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</si>
  <si>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</si>
  <si>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</si>
  <si>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</si>
  <si>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</si>
  <si>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</si>
  <si>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</si>
  <si>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</si>
  <si>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</si>
  <si>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</si>
  <si>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</si>
  <si>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</si>
  <si>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</si>
  <si>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</si>
  <si>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</si>
  <si>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</si>
  <si>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</si>
  <si>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</si>
  <si>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</si>
  <si>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</si>
  <si>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</si>
  <si>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</si>
  <si>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</si>
  <si>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</si>
  <si>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</si>
  <si>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</si>
  <si>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</si>
  <si>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</si>
  <si>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</si>
  <si>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</si>
  <si>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</si>
  <si>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</si>
  <si>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</si>
  <si>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</si>
  <si>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</si>
  <si>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</si>
  <si>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</si>
  <si>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</si>
  <si>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</si>
  <si>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</si>
  <si>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</si>
  <si>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</si>
  <si>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</si>
  <si>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</si>
  <si>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</si>
  <si>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</si>
  <si>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</si>
  <si>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</si>
  <si>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</si>
  <si>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</si>
  <si>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</si>
  <si>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</si>
  <si>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</si>
  <si>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</si>
  <si>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</si>
  <si>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</si>
  <si>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</si>
  <si>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</si>
  <si>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</si>
  <si>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</si>
  <si>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</si>
  <si>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</si>
  <si>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</si>
  <si>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</si>
  <si>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</si>
  <si>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</si>
  <si>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</si>
  <si>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</si>
  <si>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</si>
  <si>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</si>
  <si>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</si>
  <si>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</si>
  <si>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</si>
  <si>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</si>
  <si>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</si>
  <si>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</si>
  <si>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</si>
  <si>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</si>
  <si>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</si>
  <si>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</si>
  <si>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</si>
  <si>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</si>
  <si>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</si>
  <si>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</si>
  <si>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</si>
  <si>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</si>
  <si>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</si>
  <si>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</si>
  <si>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</si>
  <si>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</si>
  <si>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</si>
  <si>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</si>
  <si>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</si>
  <si>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</si>
  <si>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</si>
  <si>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</si>
  <si>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</si>
  <si>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</si>
  <si>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</si>
  <si>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</si>
  <si>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</si>
  <si>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</si>
  <si>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27.09.2018r.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</si>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</sst>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45864576"/>
        <c:axId val="10128001"/>
      </c:lineChart>
      <c:date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0"/>
        <c:auto val="0"/>
        <c:noMultiLvlLbl val="0"/>
      </c:date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3696346"/>
        <c:axId val="13505067"/>
      </c:lineChart>
      <c:date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05067"/>
        <c:crossesAt val="0"/>
        <c:auto val="0"/>
        <c:noMultiLvlLbl val="0"/>
      </c:date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4436740"/>
        <c:axId val="20168613"/>
      </c:lineChart>
      <c:date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68613"/>
        <c:crossesAt val="0"/>
        <c:auto val="0"/>
        <c:noMultiLvlLbl val="0"/>
      </c:date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67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7299790"/>
        <c:axId val="23044927"/>
      </c:lineChart>
      <c:date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0"/>
        <c:auto val="0"/>
        <c:noMultiLvlLbl val="0"/>
      </c:date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24043146"/>
        <c:axId val="15061723"/>
      </c:barChart>
      <c:date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0"/>
        <c:auto val="0"/>
        <c:noMultiLvlLbl val="0"/>
      </c:dateAx>
      <c:valAx>
        <c:axId val="15061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1337780"/>
        <c:axId val="12040021"/>
      </c:barChart>
      <c:date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0"/>
        <c:auto val="0"/>
        <c:noMultiLvlLbl val="0"/>
      </c:date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41251326"/>
        <c:axId val="35717615"/>
      </c:lineChart>
      <c:date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0"/>
        <c:auto val="0"/>
        <c:noMultiLvlLbl val="0"/>
      </c:dateAx>
      <c:valAx>
        <c:axId val="35717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3023080"/>
        <c:axId val="7445673"/>
      </c:lineChart>
      <c:date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0"/>
        <c:auto val="0"/>
        <c:noMultiLvlLbl val="0"/>
      </c:dateAx>
      <c:valAx>
        <c:axId val="7445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2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7011058"/>
        <c:axId val="66228611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67011058"/>
        <c:axId val="66228611"/>
      </c:lineChart>
      <c:date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0"/>
        <c:auto val="0"/>
        <c:noMultiLvlLbl val="0"/>
      </c:date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9186588"/>
        <c:axId val="62917245"/>
      </c:lineChart>
      <c:date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7245"/>
        <c:crossesAt val="0"/>
        <c:auto val="0"/>
        <c:noMultiLvlLbl val="0"/>
      </c:dateAx>
      <c:valAx>
        <c:axId val="62917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29384294"/>
        <c:axId val="63132055"/>
      </c:lineChart>
      <c:date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At val="0"/>
        <c:auto val="0"/>
        <c:noMultiLvlLbl val="0"/>
      </c:date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1317584"/>
        <c:axId val="13422801"/>
      </c:lineChart>
      <c:date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0"/>
        <c:auto val="0"/>
        <c:noMultiLvlLbl val="0"/>
      </c:date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P88" activePane="bottomRight" state="frozen"/>
      <selection pane="topLeft" activeCell="A1" sqref="A1"/>
      <selection pane="topRight" activeCell="P1" sqref="P1"/>
      <selection pane="bottomLeft" activeCell="A88" sqref="A88"/>
      <selection pane="bottomRight" activeCell="B1" sqref="B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47876316.36</f>
        <v>47876316.36</v>
      </c>
      <c r="I3" s="26">
        <f>58624216.22</f>
        <v>58624216.22</v>
      </c>
      <c r="J3" s="27">
        <f>53968000</f>
        <v>53968000</v>
      </c>
      <c r="K3" s="27">
        <f>49178762.71</f>
        <v>49178762.71</v>
      </c>
      <c r="L3" s="27">
        <f aca="true" t="shared" si="0" ref="L3:L4">48100000</f>
        <v>48100000</v>
      </c>
      <c r="M3" s="27">
        <f aca="true" t="shared" si="1" ref="M3:M4">49600000</f>
        <v>49600000</v>
      </c>
      <c r="N3" s="27">
        <f aca="true" t="shared" si="2" ref="N3:N4">51100000</f>
        <v>51100000</v>
      </c>
      <c r="O3" s="27">
        <f aca="true" t="shared" si="3" ref="O3:O4">52600000</f>
        <v>52600000</v>
      </c>
      <c r="P3" s="27">
        <f aca="true" t="shared" si="4" ref="P3:P4">54100000</f>
        <v>54100000</v>
      </c>
      <c r="Q3" s="27">
        <f aca="true" t="shared" si="5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44072600.39</f>
        <v>44072600.39</v>
      </c>
      <c r="I4" s="35">
        <f>45511699.06</f>
        <v>45511699.06</v>
      </c>
      <c r="J4" s="36">
        <f>45100000</f>
        <v>45100000</v>
      </c>
      <c r="K4" s="36">
        <f>46600000</f>
        <v>46600000</v>
      </c>
      <c r="L4" s="36">
        <f t="shared" si="0"/>
        <v>48100000</v>
      </c>
      <c r="M4" s="36">
        <f t="shared" si="1"/>
        <v>49600000</v>
      </c>
      <c r="N4" s="36">
        <f t="shared" si="2"/>
        <v>51100000</v>
      </c>
      <c r="O4" s="36">
        <f t="shared" si="3"/>
        <v>52600000</v>
      </c>
      <c r="P4" s="36">
        <f t="shared" si="4"/>
        <v>54100000</v>
      </c>
      <c r="Q4" s="36">
        <f t="shared" si="5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9828972</f>
        <v>9828972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12400000</f>
        <v>12400000</v>
      </c>
      <c r="M5" s="36">
        <f aca="true" t="shared" si="6" ref="M5:M13">0</f>
        <v>0</v>
      </c>
      <c r="N5" s="36">
        <f aca="true" t="shared" si="7" ref="N5:N13">0</f>
        <v>0</v>
      </c>
      <c r="O5" s="36">
        <f aca="true" t="shared" si="8" ref="O5:O13">0</f>
        <v>0</v>
      </c>
      <c r="P5" s="36">
        <f aca="true" t="shared" si="9" ref="P5:P13">0</f>
        <v>0</v>
      </c>
      <c r="Q5" s="36">
        <f aca="true" t="shared" si="10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175165.42</f>
        <v>175165.42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6"/>
        <v>0</v>
      </c>
      <c r="N6" s="36">
        <f t="shared" si="7"/>
        <v>0</v>
      </c>
      <c r="O6" s="36">
        <f t="shared" si="8"/>
        <v>0</v>
      </c>
      <c r="P6" s="36">
        <f t="shared" si="9"/>
        <v>0</v>
      </c>
      <c r="Q6" s="36">
        <f t="shared" si="10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8153528.89</f>
        <v>8153528.89</v>
      </c>
      <c r="I7" s="35">
        <f>8318275</f>
        <v>8318275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6"/>
        <v>0</v>
      </c>
      <c r="N7" s="36">
        <f t="shared" si="7"/>
        <v>0</v>
      </c>
      <c r="O7" s="36">
        <f t="shared" si="8"/>
        <v>0</v>
      </c>
      <c r="P7" s="36">
        <f t="shared" si="9"/>
        <v>0</v>
      </c>
      <c r="Q7" s="36">
        <f t="shared" si="10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4888820.84</f>
        <v>4888820.84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6"/>
        <v>0</v>
      </c>
      <c r="N8" s="36">
        <f t="shared" si="7"/>
        <v>0</v>
      </c>
      <c r="O8" s="36">
        <f t="shared" si="8"/>
        <v>0</v>
      </c>
      <c r="P8" s="36">
        <f t="shared" si="9"/>
        <v>0</v>
      </c>
      <c r="Q8" s="36">
        <f t="shared" si="10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8757490</f>
        <v>8757490</v>
      </c>
      <c r="I9" s="35">
        <f>9564590</f>
        <v>9564590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6"/>
        <v>0</v>
      </c>
      <c r="N9" s="36">
        <f t="shared" si="7"/>
        <v>0</v>
      </c>
      <c r="O9" s="36">
        <f t="shared" si="8"/>
        <v>0</v>
      </c>
      <c r="P9" s="36">
        <f t="shared" si="9"/>
        <v>0</v>
      </c>
      <c r="Q9" s="36">
        <f t="shared" si="10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14679288.34</f>
        <v>14679288.34</v>
      </c>
      <c r="I10" s="35">
        <f>14385163.06</f>
        <v>14385163.06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6"/>
        <v>0</v>
      </c>
      <c r="N10" s="36">
        <f t="shared" si="7"/>
        <v>0</v>
      </c>
      <c r="O10" s="36">
        <f t="shared" si="8"/>
        <v>0</v>
      </c>
      <c r="P10" s="36">
        <f t="shared" si="9"/>
        <v>0</v>
      </c>
      <c r="Q10" s="36">
        <f t="shared" si="10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3803715.97</f>
        <v>3803715.97</v>
      </c>
      <c r="I11" s="35">
        <f>13112517.16</f>
        <v>13112517.16</v>
      </c>
      <c r="J11" s="36">
        <f>8868000</f>
        <v>8868000</v>
      </c>
      <c r="K11" s="36">
        <f>2578762.71</f>
        <v>2578762.71</v>
      </c>
      <c r="L11" s="36">
        <f aca="true" t="shared" si="11" ref="L11:L13">0</f>
        <v>0</v>
      </c>
      <c r="M11" s="36">
        <f t="shared" si="6"/>
        <v>0</v>
      </c>
      <c r="N11" s="36">
        <f t="shared" si="7"/>
        <v>0</v>
      </c>
      <c r="O11" s="36">
        <f t="shared" si="8"/>
        <v>0</v>
      </c>
      <c r="P11" s="36">
        <f t="shared" si="9"/>
        <v>0</v>
      </c>
      <c r="Q11" s="36">
        <f t="shared" si="10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195312</f>
        <v>195312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 t="shared" si="11"/>
        <v>0</v>
      </c>
      <c r="M12" s="36">
        <f t="shared" si="6"/>
        <v>0</v>
      </c>
      <c r="N12" s="36">
        <f t="shared" si="7"/>
        <v>0</v>
      </c>
      <c r="O12" s="36">
        <f t="shared" si="8"/>
        <v>0</v>
      </c>
      <c r="P12" s="36">
        <f t="shared" si="9"/>
        <v>0</v>
      </c>
      <c r="Q12" s="36">
        <f t="shared" si="10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3604491.89</f>
        <v>3604491.89</v>
      </c>
      <c r="I13" s="35">
        <f>11447517.16</f>
        <v>11447517.16</v>
      </c>
      <c r="J13" s="36">
        <f>3918000</f>
        <v>3918000</v>
      </c>
      <c r="K13" s="36">
        <f>2578762.71</f>
        <v>2578762.71</v>
      </c>
      <c r="L13" s="36">
        <f t="shared" si="11"/>
        <v>0</v>
      </c>
      <c r="M13" s="36">
        <f t="shared" si="6"/>
        <v>0</v>
      </c>
      <c r="N13" s="36">
        <f t="shared" si="7"/>
        <v>0</v>
      </c>
      <c r="O13" s="36">
        <f t="shared" si="8"/>
        <v>0</v>
      </c>
      <c r="P13" s="36">
        <f t="shared" si="9"/>
        <v>0</v>
      </c>
      <c r="Q13" s="36">
        <f t="shared" si="10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47344696.68</f>
        <v>47344696.68</v>
      </c>
      <c r="I14" s="26">
        <f>59943718.84</f>
        <v>59943718.84</v>
      </c>
      <c r="J14" s="27">
        <f>52107996</f>
        <v>52107996</v>
      </c>
      <c r="K14" s="27">
        <f>46968758.71</f>
        <v>46968758.71</v>
      </c>
      <c r="L14" s="27">
        <f>45889996</f>
        <v>45889996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53100000</f>
        <v>53100000</v>
      </c>
      <c r="Q14" s="27">
        <f>55068066.27</f>
        <v>55068066.27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40829071.71</f>
        <v>40829071.71</v>
      </c>
      <c r="I15" s="35">
        <f>42400802.54</f>
        <v>42400802.54</v>
      </c>
      <c r="J15" s="36">
        <f>41500000</f>
        <v>41500000</v>
      </c>
      <c r="K15" s="36">
        <f>42000000</f>
        <v>42000000</v>
      </c>
      <c r="L15" s="36">
        <f>42500000</f>
        <v>42500000</v>
      </c>
      <c r="M15" s="36">
        <f>43000000</f>
        <v>43000000</v>
      </c>
      <c r="N15" s="36">
        <f>43500000</f>
        <v>43500000</v>
      </c>
      <c r="O15" s="36">
        <f>44000000</f>
        <v>44000000</v>
      </c>
      <c r="P15" s="36">
        <f>44500000</f>
        <v>44500000</v>
      </c>
      <c r="Q15" s="36">
        <f>45000000</f>
        <v>45000000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2" ref="E16:E18">0</f>
        <v>0</v>
      </c>
      <c r="F16" s="33">
        <f aca="true" t="shared" si="13" ref="F16:F18">0</f>
        <v>0</v>
      </c>
      <c r="G16" s="33">
        <f>28500</f>
        <v>28500</v>
      </c>
      <c r="H16" s="34">
        <f aca="true" t="shared" si="14" ref="H16:H18">0</f>
        <v>0</v>
      </c>
      <c r="I16" s="35">
        <f>39000</f>
        <v>39000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2"/>
        <v>0</v>
      </c>
      <c r="F17" s="33">
        <f t="shared" si="13"/>
        <v>0</v>
      </c>
      <c r="G17" s="33">
        <f aca="true" t="shared" si="15" ref="G17:G18">0</f>
        <v>0</v>
      </c>
      <c r="H17" s="34">
        <f t="shared" si="14"/>
        <v>0</v>
      </c>
      <c r="I17" s="35">
        <f aca="true" t="shared" si="16" ref="I17:I18">0</f>
        <v>0</v>
      </c>
      <c r="J17" s="36">
        <f aca="true" t="shared" si="17" ref="J17:J18">0</f>
        <v>0</v>
      </c>
      <c r="K17" s="36">
        <f aca="true" t="shared" si="18" ref="K17:K18">0</f>
        <v>0</v>
      </c>
      <c r="L17" s="36">
        <f aca="true" t="shared" si="19" ref="L17:L18">0</f>
        <v>0</v>
      </c>
      <c r="M17" s="36">
        <f aca="true" t="shared" si="20" ref="M17:M18">0</f>
        <v>0</v>
      </c>
      <c r="N17" s="36">
        <f aca="true" t="shared" si="21" ref="N17:N18">0</f>
        <v>0</v>
      </c>
      <c r="O17" s="36">
        <f aca="true" t="shared" si="22" ref="O17:O18">0</f>
        <v>0</v>
      </c>
      <c r="P17" s="36">
        <f aca="true" t="shared" si="23" ref="P17:P18">0</f>
        <v>0</v>
      </c>
      <c r="Q17" s="36">
        <f aca="true" t="shared" si="24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2"/>
        <v>0</v>
      </c>
      <c r="F18" s="33">
        <f t="shared" si="13"/>
        <v>0</v>
      </c>
      <c r="G18" s="33">
        <f t="shared" si="15"/>
        <v>0</v>
      </c>
      <c r="H18" s="34">
        <f t="shared" si="14"/>
        <v>0</v>
      </c>
      <c r="I18" s="35">
        <f t="shared" si="16"/>
        <v>0</v>
      </c>
      <c r="J18" s="36">
        <f t="shared" si="17"/>
        <v>0</v>
      </c>
      <c r="K18" s="36">
        <f t="shared" si="18"/>
        <v>0</v>
      </c>
      <c r="L18" s="36">
        <f t="shared" si="19"/>
        <v>0</v>
      </c>
      <c r="M18" s="36">
        <f t="shared" si="20"/>
        <v>0</v>
      </c>
      <c r="N18" s="36">
        <f t="shared" si="21"/>
        <v>0</v>
      </c>
      <c r="O18" s="36">
        <f t="shared" si="22"/>
        <v>0</v>
      </c>
      <c r="P18" s="36">
        <f t="shared" si="23"/>
        <v>0</v>
      </c>
      <c r="Q18" s="36">
        <f t="shared" si="24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5" ref="F19:F20">479637.86</f>
        <v>479637.86</v>
      </c>
      <c r="G19" s="33">
        <f>463500</f>
        <v>463500</v>
      </c>
      <c r="H19" s="34">
        <f aca="true" t="shared" si="26" ref="H19:H20">397324.74</f>
        <v>397324.74</v>
      </c>
      <c r="I19" s="35">
        <f>435000</f>
        <v>435000</v>
      </c>
      <c r="J19" s="36">
        <f aca="true" t="shared" si="27" ref="J19:J20">400000</f>
        <v>400000</v>
      </c>
      <c r="K19" s="36">
        <f>360000</f>
        <v>360000</v>
      </c>
      <c r="L19" s="36">
        <f aca="true" t="shared" si="28" ref="L19:L20">310000</f>
        <v>310000</v>
      </c>
      <c r="M19" s="36">
        <f aca="true" t="shared" si="29" ref="M19:M20">270000</f>
        <v>270000</v>
      </c>
      <c r="N19" s="36">
        <f aca="true" t="shared" si="30" ref="N19:N20">220000</f>
        <v>220000</v>
      </c>
      <c r="O19" s="36">
        <f aca="true" t="shared" si="31" ref="O19:O20">180000</f>
        <v>180000</v>
      </c>
      <c r="P19" s="36">
        <f aca="true" t="shared" si="32" ref="P19:P20">130000</f>
        <v>130000</v>
      </c>
      <c r="Q19" s="36">
        <f aca="true" t="shared" si="33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5"/>
        <v>479637.86</v>
      </c>
      <c r="G20" s="33">
        <f>458500</f>
        <v>458500</v>
      </c>
      <c r="H20" s="34">
        <f t="shared" si="26"/>
        <v>397324.74</v>
      </c>
      <c r="I20" s="35">
        <f>430000</f>
        <v>430000</v>
      </c>
      <c r="J20" s="36">
        <f t="shared" si="27"/>
        <v>400000</v>
      </c>
      <c r="K20" s="36">
        <f>350000</f>
        <v>350000</v>
      </c>
      <c r="L20" s="36">
        <f t="shared" si="28"/>
        <v>310000</v>
      </c>
      <c r="M20" s="36">
        <f t="shared" si="29"/>
        <v>270000</v>
      </c>
      <c r="N20" s="36">
        <f t="shared" si="30"/>
        <v>220000</v>
      </c>
      <c r="O20" s="36">
        <f t="shared" si="31"/>
        <v>180000</v>
      </c>
      <c r="P20" s="36">
        <f t="shared" si="32"/>
        <v>130000</v>
      </c>
      <c r="Q20" s="36">
        <f t="shared" si="33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4" ref="E21:E22">0</f>
        <v>0</v>
      </c>
      <c r="F21" s="33">
        <f aca="true" t="shared" si="35" ref="F21:F22">0</f>
        <v>0</v>
      </c>
      <c r="G21" s="33">
        <f aca="true" t="shared" si="36" ref="G21:G22">0</f>
        <v>0</v>
      </c>
      <c r="H21" s="34">
        <f aca="true" t="shared" si="37" ref="H21:H22">0</f>
        <v>0</v>
      </c>
      <c r="I21" s="35">
        <f aca="true" t="shared" si="38" ref="I21:I22">0</f>
        <v>0</v>
      </c>
      <c r="J21" s="36">
        <f aca="true" t="shared" si="39" ref="J21:J22">0</f>
        <v>0</v>
      </c>
      <c r="K21" s="36">
        <f aca="true" t="shared" si="40" ref="K21:K22">0</f>
        <v>0</v>
      </c>
      <c r="L21" s="36">
        <f aca="true" t="shared" si="41" ref="L21:L22">0</f>
        <v>0</v>
      </c>
      <c r="M21" s="36">
        <f aca="true" t="shared" si="42" ref="M21:M22">0</f>
        <v>0</v>
      </c>
      <c r="N21" s="36">
        <f aca="true" t="shared" si="43" ref="N21:N22">0</f>
        <v>0</v>
      </c>
      <c r="O21" s="36">
        <f aca="true" t="shared" si="44" ref="O21:O22">0</f>
        <v>0</v>
      </c>
      <c r="P21" s="36">
        <f aca="true" t="shared" si="45" ref="P21:P22">0</f>
        <v>0</v>
      </c>
      <c r="Q21" s="36">
        <f aca="true" t="shared" si="46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4"/>
        <v>0</v>
      </c>
      <c r="F22" s="33">
        <f t="shared" si="35"/>
        <v>0</v>
      </c>
      <c r="G22" s="33">
        <f t="shared" si="36"/>
        <v>0</v>
      </c>
      <c r="H22" s="34">
        <f t="shared" si="37"/>
        <v>0</v>
      </c>
      <c r="I22" s="35">
        <f t="shared" si="38"/>
        <v>0</v>
      </c>
      <c r="J22" s="36">
        <f t="shared" si="39"/>
        <v>0</v>
      </c>
      <c r="K22" s="36">
        <f t="shared" si="40"/>
        <v>0</v>
      </c>
      <c r="L22" s="36">
        <f t="shared" si="41"/>
        <v>0</v>
      </c>
      <c r="M22" s="36">
        <f t="shared" si="42"/>
        <v>0</v>
      </c>
      <c r="N22" s="36">
        <f t="shared" si="43"/>
        <v>0</v>
      </c>
      <c r="O22" s="36">
        <f t="shared" si="44"/>
        <v>0</v>
      </c>
      <c r="P22" s="36">
        <f t="shared" si="45"/>
        <v>0</v>
      </c>
      <c r="Q22" s="36">
        <f t="shared" si="46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6515624.97</f>
        <v>6515624.97</v>
      </c>
      <c r="I23" s="35">
        <f>17542916.3</f>
        <v>17542916.3</v>
      </c>
      <c r="J23" s="36">
        <f>10607996</f>
        <v>10607996</v>
      </c>
      <c r="K23" s="36">
        <f>4968758.71</f>
        <v>4968758.71</v>
      </c>
      <c r="L23" s="36">
        <f>3389996</f>
        <v>3389996</v>
      </c>
      <c r="M23" s="36">
        <f>4349996</f>
        <v>4349996</v>
      </c>
      <c r="N23" s="36">
        <f>5182000</f>
        <v>5182000</v>
      </c>
      <c r="O23" s="36">
        <f>7350000</f>
        <v>7350000</v>
      </c>
      <c r="P23" s="36">
        <f>8600000</f>
        <v>8600000</v>
      </c>
      <c r="Q23" s="36">
        <f>10068066.27</f>
        <v>10068066.27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531619.68</f>
        <v>531619.68</v>
      </c>
      <c r="I24" s="26">
        <f>-1319502.62</f>
        <v>-1319502.62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1000000</f>
        <v>1000000</v>
      </c>
      <c r="Q24" s="27">
        <f>531933.73</f>
        <v>531933.73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2412357.21</f>
        <v>2412357.21</v>
      </c>
      <c r="I25" s="26">
        <f>2997706.62</f>
        <v>2997706.62</v>
      </c>
      <c r="J25" s="27">
        <f aca="true" t="shared" si="47" ref="J25:J33">0</f>
        <v>0</v>
      </c>
      <c r="K25" s="27">
        <f aca="true" t="shared" si="48" ref="K25:K33">0</f>
        <v>0</v>
      </c>
      <c r="L25" s="27">
        <f aca="true" t="shared" si="49" ref="L25:L33">0</f>
        <v>0</v>
      </c>
      <c r="M25" s="27">
        <f aca="true" t="shared" si="50" ref="M25:M33">0</f>
        <v>0</v>
      </c>
      <c r="N25" s="27">
        <f aca="true" t="shared" si="51" ref="N25:N33">0</f>
        <v>0</v>
      </c>
      <c r="O25" s="27">
        <f aca="true" t="shared" si="52" ref="O25:O33">0</f>
        <v>0</v>
      </c>
      <c r="P25" s="27">
        <f aca="true" t="shared" si="53" ref="P25:P33">0</f>
        <v>0</v>
      </c>
      <c r="Q25" s="27">
        <f aca="true" t="shared" si="54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5" ref="E26:E27">0</f>
        <v>0</v>
      </c>
      <c r="F26" s="33">
        <f aca="true" t="shared" si="56" ref="F26:F27">0</f>
        <v>0</v>
      </c>
      <c r="G26" s="33">
        <f aca="true" t="shared" si="57" ref="G26:G27">0</f>
        <v>0</v>
      </c>
      <c r="H26" s="34">
        <f aca="true" t="shared" si="58" ref="H26:H27">0</f>
        <v>0</v>
      </c>
      <c r="I26" s="35">
        <f aca="true" t="shared" si="59" ref="I26:I27">0</f>
        <v>0</v>
      </c>
      <c r="J26" s="36">
        <f t="shared" si="47"/>
        <v>0</v>
      </c>
      <c r="K26" s="36">
        <f t="shared" si="48"/>
        <v>0</v>
      </c>
      <c r="L26" s="36">
        <f t="shared" si="49"/>
        <v>0</v>
      </c>
      <c r="M26" s="36">
        <f t="shared" si="50"/>
        <v>0</v>
      </c>
      <c r="N26" s="36">
        <f t="shared" si="51"/>
        <v>0</v>
      </c>
      <c r="O26" s="36">
        <f t="shared" si="52"/>
        <v>0</v>
      </c>
      <c r="P26" s="36">
        <f t="shared" si="53"/>
        <v>0</v>
      </c>
      <c r="Q26" s="36">
        <f t="shared" si="54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5"/>
        <v>0</v>
      </c>
      <c r="F27" s="33">
        <f t="shared" si="56"/>
        <v>0</v>
      </c>
      <c r="G27" s="33">
        <f t="shared" si="57"/>
        <v>0</v>
      </c>
      <c r="H27" s="34">
        <f t="shared" si="58"/>
        <v>0</v>
      </c>
      <c r="I27" s="35">
        <f t="shared" si="59"/>
        <v>0</v>
      </c>
      <c r="J27" s="36">
        <f t="shared" si="47"/>
        <v>0</v>
      </c>
      <c r="K27" s="36">
        <f t="shared" si="48"/>
        <v>0</v>
      </c>
      <c r="L27" s="36">
        <f t="shared" si="49"/>
        <v>0</v>
      </c>
      <c r="M27" s="36">
        <f t="shared" si="50"/>
        <v>0</v>
      </c>
      <c r="N27" s="36">
        <f t="shared" si="51"/>
        <v>0</v>
      </c>
      <c r="O27" s="36">
        <f t="shared" si="52"/>
        <v>0</v>
      </c>
      <c r="P27" s="36">
        <f t="shared" si="53"/>
        <v>0</v>
      </c>
      <c r="Q27" s="36">
        <f t="shared" si="54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>1465772.89</f>
        <v>1465772.89</v>
      </c>
      <c r="J28" s="36">
        <f t="shared" si="47"/>
        <v>0</v>
      </c>
      <c r="K28" s="36">
        <f t="shared" si="48"/>
        <v>0</v>
      </c>
      <c r="L28" s="36">
        <f t="shared" si="49"/>
        <v>0</v>
      </c>
      <c r="M28" s="36">
        <f t="shared" si="50"/>
        <v>0</v>
      </c>
      <c r="N28" s="36">
        <f t="shared" si="51"/>
        <v>0</v>
      </c>
      <c r="O28" s="36">
        <f t="shared" si="52"/>
        <v>0</v>
      </c>
      <c r="P28" s="36">
        <f t="shared" si="53"/>
        <v>0</v>
      </c>
      <c r="Q28" s="36">
        <f t="shared" si="54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60" ref="F29:F33">0</f>
        <v>0</v>
      </c>
      <c r="G29" s="33">
        <f>934153.21</f>
        <v>934153.21</v>
      </c>
      <c r="H29" s="34">
        <f aca="true" t="shared" si="61" ref="H29:H33">0</f>
        <v>0</v>
      </c>
      <c r="I29" s="35">
        <f>0</f>
        <v>0</v>
      </c>
      <c r="J29" s="36">
        <f t="shared" si="47"/>
        <v>0</v>
      </c>
      <c r="K29" s="36">
        <f t="shared" si="48"/>
        <v>0</v>
      </c>
      <c r="L29" s="36">
        <f t="shared" si="49"/>
        <v>0</v>
      </c>
      <c r="M29" s="36">
        <f t="shared" si="50"/>
        <v>0</v>
      </c>
      <c r="N29" s="36">
        <f t="shared" si="51"/>
        <v>0</v>
      </c>
      <c r="O29" s="36">
        <f t="shared" si="52"/>
        <v>0</v>
      </c>
      <c r="P29" s="36">
        <f t="shared" si="53"/>
        <v>0</v>
      </c>
      <c r="Q29" s="36">
        <f t="shared" si="54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60"/>
        <v>0</v>
      </c>
      <c r="G30" s="33">
        <f aca="true" t="shared" si="62" ref="G30:G31">285316.79</f>
        <v>285316.79</v>
      </c>
      <c r="H30" s="34">
        <f t="shared" si="61"/>
        <v>0</v>
      </c>
      <c r="I30" s="35">
        <f>1531933.73</f>
        <v>1531933.73</v>
      </c>
      <c r="J30" s="36">
        <f t="shared" si="47"/>
        <v>0</v>
      </c>
      <c r="K30" s="36">
        <f t="shared" si="48"/>
        <v>0</v>
      </c>
      <c r="L30" s="36">
        <f t="shared" si="49"/>
        <v>0</v>
      </c>
      <c r="M30" s="36">
        <f t="shared" si="50"/>
        <v>0</v>
      </c>
      <c r="N30" s="36">
        <f t="shared" si="51"/>
        <v>0</v>
      </c>
      <c r="O30" s="36">
        <f t="shared" si="52"/>
        <v>0</v>
      </c>
      <c r="P30" s="36">
        <f t="shared" si="53"/>
        <v>0</v>
      </c>
      <c r="Q30" s="36">
        <f t="shared" si="54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3" ref="E31:E33">0</f>
        <v>0</v>
      </c>
      <c r="F31" s="33">
        <f t="shared" si="60"/>
        <v>0</v>
      </c>
      <c r="G31" s="33">
        <f t="shared" si="62"/>
        <v>285316.79</v>
      </c>
      <c r="H31" s="34">
        <f t="shared" si="61"/>
        <v>0</v>
      </c>
      <c r="I31" s="35">
        <f>1319502.62</f>
        <v>1319502.62</v>
      </c>
      <c r="J31" s="36">
        <f t="shared" si="47"/>
        <v>0</v>
      </c>
      <c r="K31" s="36">
        <f t="shared" si="48"/>
        <v>0</v>
      </c>
      <c r="L31" s="36">
        <f t="shared" si="49"/>
        <v>0</v>
      </c>
      <c r="M31" s="36">
        <f t="shared" si="50"/>
        <v>0</v>
      </c>
      <c r="N31" s="36">
        <f t="shared" si="51"/>
        <v>0</v>
      </c>
      <c r="O31" s="36">
        <f t="shared" si="52"/>
        <v>0</v>
      </c>
      <c r="P31" s="36">
        <f t="shared" si="53"/>
        <v>0</v>
      </c>
      <c r="Q31" s="36">
        <f t="shared" si="54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3"/>
        <v>0</v>
      </c>
      <c r="F32" s="33">
        <f t="shared" si="60"/>
        <v>0</v>
      </c>
      <c r="G32" s="33">
        <f aca="true" t="shared" si="64" ref="G32:G33">0</f>
        <v>0</v>
      </c>
      <c r="H32" s="34">
        <f t="shared" si="61"/>
        <v>0</v>
      </c>
      <c r="I32" s="35">
        <f aca="true" t="shared" si="65" ref="I32:I33">0</f>
        <v>0</v>
      </c>
      <c r="J32" s="36">
        <f t="shared" si="47"/>
        <v>0</v>
      </c>
      <c r="K32" s="36">
        <f t="shared" si="48"/>
        <v>0</v>
      </c>
      <c r="L32" s="36">
        <f t="shared" si="49"/>
        <v>0</v>
      </c>
      <c r="M32" s="36">
        <f t="shared" si="50"/>
        <v>0</v>
      </c>
      <c r="N32" s="36">
        <f t="shared" si="51"/>
        <v>0</v>
      </c>
      <c r="O32" s="36">
        <f t="shared" si="52"/>
        <v>0</v>
      </c>
      <c r="P32" s="36">
        <f t="shared" si="53"/>
        <v>0</v>
      </c>
      <c r="Q32" s="36">
        <f t="shared" si="54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3"/>
        <v>0</v>
      </c>
      <c r="F33" s="33">
        <f t="shared" si="60"/>
        <v>0</v>
      </c>
      <c r="G33" s="33">
        <f t="shared" si="64"/>
        <v>0</v>
      </c>
      <c r="H33" s="34">
        <f t="shared" si="61"/>
        <v>0</v>
      </c>
      <c r="I33" s="35">
        <f t="shared" si="65"/>
        <v>0</v>
      </c>
      <c r="J33" s="36">
        <f t="shared" si="47"/>
        <v>0</v>
      </c>
      <c r="K33" s="36">
        <f t="shared" si="48"/>
        <v>0</v>
      </c>
      <c r="L33" s="36">
        <f t="shared" si="49"/>
        <v>0</v>
      </c>
      <c r="M33" s="36">
        <f t="shared" si="50"/>
        <v>0</v>
      </c>
      <c r="N33" s="36">
        <f t="shared" si="51"/>
        <v>0</v>
      </c>
      <c r="O33" s="36">
        <f t="shared" si="52"/>
        <v>0</v>
      </c>
      <c r="P33" s="36">
        <f t="shared" si="53"/>
        <v>0</v>
      </c>
      <c r="Q33" s="36">
        <f t="shared" si="54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6" ref="E34:E35">915692</f>
        <v>915692</v>
      </c>
      <c r="F34" s="24">
        <f aca="true" t="shared" si="67" ref="F34:F35">1215692</f>
        <v>1215692</v>
      </c>
      <c r="G34" s="24">
        <f aca="true" t="shared" si="68" ref="G34:G35">1478204</f>
        <v>1478204</v>
      </c>
      <c r="H34" s="25">
        <f aca="true" t="shared" si="69" ref="H34:H35">1478204</f>
        <v>1478204</v>
      </c>
      <c r="I34" s="26">
        <f aca="true" t="shared" si="70" ref="I34:I35">1678204</f>
        <v>1678204</v>
      </c>
      <c r="J34" s="27">
        <f aca="true" t="shared" si="71" ref="J34:J35">1860004</f>
        <v>1860004</v>
      </c>
      <c r="K34" s="27">
        <f aca="true" t="shared" si="72" ref="K34:K35">2210004</f>
        <v>2210004</v>
      </c>
      <c r="L34" s="27">
        <f aca="true" t="shared" si="73" ref="L34:L35">2210004</f>
        <v>2210004</v>
      </c>
      <c r="M34" s="27">
        <f aca="true" t="shared" si="74" ref="M34:M35">2250004</f>
        <v>2250004</v>
      </c>
      <c r="N34" s="27">
        <f aca="true" t="shared" si="75" ref="N34:N35">2418000</f>
        <v>2418000</v>
      </c>
      <c r="O34" s="27">
        <f aca="true" t="shared" si="76" ref="O34:O35">1250000</f>
        <v>1250000</v>
      </c>
      <c r="P34" s="27">
        <f aca="true" t="shared" si="77" ref="P34:P35">1000000</f>
        <v>1000000</v>
      </c>
      <c r="Q34" s="27">
        <f aca="true" t="shared" si="78" ref="Q34:Q35">531933.73</f>
        <v>531933.73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6"/>
        <v>915692</v>
      </c>
      <c r="F35" s="33">
        <f t="shared" si="67"/>
        <v>1215692</v>
      </c>
      <c r="G35" s="33">
        <f t="shared" si="68"/>
        <v>1478204</v>
      </c>
      <c r="H35" s="34">
        <f t="shared" si="69"/>
        <v>1478204</v>
      </c>
      <c r="I35" s="35">
        <f t="shared" si="70"/>
        <v>1678204</v>
      </c>
      <c r="J35" s="36">
        <f t="shared" si="71"/>
        <v>1860004</v>
      </c>
      <c r="K35" s="36">
        <f t="shared" si="72"/>
        <v>2210004</v>
      </c>
      <c r="L35" s="36">
        <f t="shared" si="73"/>
        <v>2210004</v>
      </c>
      <c r="M35" s="36">
        <f t="shared" si="74"/>
        <v>2250004</v>
      </c>
      <c r="N35" s="36">
        <f t="shared" si="75"/>
        <v>2418000</v>
      </c>
      <c r="O35" s="36">
        <f t="shared" si="76"/>
        <v>1250000</v>
      </c>
      <c r="P35" s="36">
        <f t="shared" si="77"/>
        <v>1000000</v>
      </c>
      <c r="Q35" s="36">
        <f t="shared" si="78"/>
        <v>531933.73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9" ref="E36:E40">0</f>
        <v>0</v>
      </c>
      <c r="F36" s="33">
        <f aca="true" t="shared" si="80" ref="F36:F40">0</f>
        <v>0</v>
      </c>
      <c r="G36" s="33">
        <f aca="true" t="shared" si="81" ref="G36:G40">0</f>
        <v>0</v>
      </c>
      <c r="H36" s="34">
        <f aca="true" t="shared" si="82" ref="H36:H40">0</f>
        <v>0</v>
      </c>
      <c r="I36" s="35">
        <f aca="true" t="shared" si="83" ref="I36:I40">0</f>
        <v>0</v>
      </c>
      <c r="J36" s="36">
        <f aca="true" t="shared" si="84" ref="J36:J40">0</f>
        <v>0</v>
      </c>
      <c r="K36" s="36">
        <f aca="true" t="shared" si="85" ref="K36:K40">0</f>
        <v>0</v>
      </c>
      <c r="L36" s="36">
        <f aca="true" t="shared" si="86" ref="L36:L40">0</f>
        <v>0</v>
      </c>
      <c r="M36" s="36">
        <f aca="true" t="shared" si="87" ref="M36:M40">0</f>
        <v>0</v>
      </c>
      <c r="N36" s="36">
        <f aca="true" t="shared" si="88" ref="N36:N40">0</f>
        <v>0</v>
      </c>
      <c r="O36" s="36">
        <f aca="true" t="shared" si="89" ref="O36:O40">0</f>
        <v>0</v>
      </c>
      <c r="P36" s="36">
        <f aca="true" t="shared" si="90" ref="P36:P40">0</f>
        <v>0</v>
      </c>
      <c r="Q36" s="36">
        <f aca="true" t="shared" si="91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9"/>
        <v>0</v>
      </c>
      <c r="F37" s="33">
        <f t="shared" si="80"/>
        <v>0</v>
      </c>
      <c r="G37" s="33">
        <f t="shared" si="81"/>
        <v>0</v>
      </c>
      <c r="H37" s="34">
        <f t="shared" si="82"/>
        <v>0</v>
      </c>
      <c r="I37" s="35">
        <f t="shared" si="83"/>
        <v>0</v>
      </c>
      <c r="J37" s="36">
        <f t="shared" si="84"/>
        <v>0</v>
      </c>
      <c r="K37" s="36">
        <f t="shared" si="85"/>
        <v>0</v>
      </c>
      <c r="L37" s="36">
        <f t="shared" si="86"/>
        <v>0</v>
      </c>
      <c r="M37" s="36">
        <f t="shared" si="87"/>
        <v>0</v>
      </c>
      <c r="N37" s="36">
        <f t="shared" si="88"/>
        <v>0</v>
      </c>
      <c r="O37" s="36">
        <f t="shared" si="89"/>
        <v>0</v>
      </c>
      <c r="P37" s="36">
        <f t="shared" si="90"/>
        <v>0</v>
      </c>
      <c r="Q37" s="36">
        <f t="shared" si="91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9"/>
        <v>0</v>
      </c>
      <c r="F38" s="33">
        <f t="shared" si="80"/>
        <v>0</v>
      </c>
      <c r="G38" s="33">
        <f t="shared" si="81"/>
        <v>0</v>
      </c>
      <c r="H38" s="34">
        <f t="shared" si="82"/>
        <v>0</v>
      </c>
      <c r="I38" s="35">
        <f t="shared" si="83"/>
        <v>0</v>
      </c>
      <c r="J38" s="36">
        <f t="shared" si="84"/>
        <v>0</v>
      </c>
      <c r="K38" s="36">
        <f t="shared" si="85"/>
        <v>0</v>
      </c>
      <c r="L38" s="36">
        <f t="shared" si="86"/>
        <v>0</v>
      </c>
      <c r="M38" s="36">
        <f t="shared" si="87"/>
        <v>0</v>
      </c>
      <c r="N38" s="36">
        <f t="shared" si="88"/>
        <v>0</v>
      </c>
      <c r="O38" s="36">
        <f t="shared" si="89"/>
        <v>0</v>
      </c>
      <c r="P38" s="36">
        <f t="shared" si="90"/>
        <v>0</v>
      </c>
      <c r="Q38" s="36">
        <f t="shared" si="91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9"/>
        <v>0</v>
      </c>
      <c r="F39" s="33">
        <f t="shared" si="80"/>
        <v>0</v>
      </c>
      <c r="G39" s="33">
        <f t="shared" si="81"/>
        <v>0</v>
      </c>
      <c r="H39" s="34">
        <f t="shared" si="82"/>
        <v>0</v>
      </c>
      <c r="I39" s="35">
        <f t="shared" si="83"/>
        <v>0</v>
      </c>
      <c r="J39" s="36">
        <f t="shared" si="84"/>
        <v>0</v>
      </c>
      <c r="K39" s="36">
        <f t="shared" si="85"/>
        <v>0</v>
      </c>
      <c r="L39" s="36">
        <f t="shared" si="86"/>
        <v>0</v>
      </c>
      <c r="M39" s="36">
        <f t="shared" si="87"/>
        <v>0</v>
      </c>
      <c r="N39" s="36">
        <f t="shared" si="88"/>
        <v>0</v>
      </c>
      <c r="O39" s="36">
        <f t="shared" si="89"/>
        <v>0</v>
      </c>
      <c r="P39" s="36">
        <f t="shared" si="90"/>
        <v>0</v>
      </c>
      <c r="Q39" s="36">
        <f t="shared" si="91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9"/>
        <v>0</v>
      </c>
      <c r="F40" s="33">
        <f t="shared" si="80"/>
        <v>0</v>
      </c>
      <c r="G40" s="33">
        <f t="shared" si="81"/>
        <v>0</v>
      </c>
      <c r="H40" s="34">
        <f t="shared" si="82"/>
        <v>0</v>
      </c>
      <c r="I40" s="35">
        <f t="shared" si="83"/>
        <v>0</v>
      </c>
      <c r="J40" s="36">
        <f t="shared" si="84"/>
        <v>0</v>
      </c>
      <c r="K40" s="36">
        <f t="shared" si="85"/>
        <v>0</v>
      </c>
      <c r="L40" s="36">
        <f t="shared" si="86"/>
        <v>0</v>
      </c>
      <c r="M40" s="36">
        <f t="shared" si="87"/>
        <v>0</v>
      </c>
      <c r="N40" s="36">
        <f t="shared" si="88"/>
        <v>0</v>
      </c>
      <c r="O40" s="36">
        <f t="shared" si="89"/>
        <v>0</v>
      </c>
      <c r="P40" s="36">
        <f t="shared" si="90"/>
        <v>0</v>
      </c>
      <c r="Q40" s="36">
        <f t="shared" si="91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13876220</f>
        <v>13876220</v>
      </c>
      <c r="I41" s="26">
        <f>13729949.73</f>
        <v>13729949.73</v>
      </c>
      <c r="J41" s="27">
        <f>11869945.73</f>
        <v>11869945.73</v>
      </c>
      <c r="K41" s="27">
        <f>9659941.73</f>
        <v>9659941.73</v>
      </c>
      <c r="L41" s="27">
        <f>7449937.73</f>
        <v>7449937.73</v>
      </c>
      <c r="M41" s="27">
        <f>5199933.73</f>
        <v>5199933.73</v>
      </c>
      <c r="N41" s="27">
        <f>2781933.73</f>
        <v>2781933.73</v>
      </c>
      <c r="O41" s="27">
        <f>1531933.73</f>
        <v>1531933.73</v>
      </c>
      <c r="P41" s="27">
        <f>531933.73</f>
        <v>531933.73</v>
      </c>
      <c r="Q41" s="27">
        <f t="shared" si="91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1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3243528.68</f>
        <v>3243528.68</v>
      </c>
      <c r="I44" s="35">
        <f>3110896.52</f>
        <v>3110896.52</v>
      </c>
      <c r="J44" s="36">
        <f aca="true" t="shared" si="92" ref="J44:J45">3600000</f>
        <v>3600000</v>
      </c>
      <c r="K44" s="36">
        <f aca="true" t="shared" si="93" ref="K44:K45">4600000</f>
        <v>4600000</v>
      </c>
      <c r="L44" s="36">
        <f aca="true" t="shared" si="94" ref="L44:L45">5600000</f>
        <v>5600000</v>
      </c>
      <c r="M44" s="36">
        <f aca="true" t="shared" si="95" ref="M44:M45">6600000</f>
        <v>6600000</v>
      </c>
      <c r="N44" s="36">
        <f aca="true" t="shared" si="96" ref="N44:N45">7600000</f>
        <v>7600000</v>
      </c>
      <c r="O44" s="36">
        <f aca="true" t="shared" si="97" ref="O44:O45">8600000</f>
        <v>8600000</v>
      </c>
      <c r="P44" s="36">
        <f aca="true" t="shared" si="98" ref="P44:P45">9600000</f>
        <v>9600000</v>
      </c>
      <c r="Q44" s="36">
        <f aca="true" t="shared" si="99" ref="Q44:Q45">10600000</f>
        <v>10600000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5655885.89</f>
        <v>5655885.89</v>
      </c>
      <c r="I45" s="35">
        <f>4576669.41</f>
        <v>4576669.41</v>
      </c>
      <c r="J45" s="36">
        <f t="shared" si="92"/>
        <v>3600000</v>
      </c>
      <c r="K45" s="36">
        <f t="shared" si="93"/>
        <v>4600000</v>
      </c>
      <c r="L45" s="36">
        <f t="shared" si="94"/>
        <v>5600000</v>
      </c>
      <c r="M45" s="36">
        <f t="shared" si="95"/>
        <v>6600000</v>
      </c>
      <c r="N45" s="36">
        <f t="shared" si="96"/>
        <v>7600000</v>
      </c>
      <c r="O45" s="36">
        <f t="shared" si="97"/>
        <v>8600000</v>
      </c>
      <c r="P45" s="36">
        <f t="shared" si="98"/>
        <v>9600000</v>
      </c>
      <c r="Q45" s="36">
        <f t="shared" si="99"/>
        <v>10600000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0" ref="E47:E48">0.0365</f>
        <v>0.0365</v>
      </c>
      <c r="F47" s="47">
        <f aca="true" t="shared" si="101" ref="F47:F48">0.0388</f>
        <v>0.0388</v>
      </c>
      <c r="G47" s="47">
        <f aca="true" t="shared" si="102" ref="G47:G48">0.0423</f>
        <v>0.0423</v>
      </c>
      <c r="H47" s="48">
        <f aca="true" t="shared" si="103" ref="H47:H48">0.0392</f>
        <v>0.0392</v>
      </c>
      <c r="I47" s="49">
        <f aca="true" t="shared" si="104" ref="I47:I48">0.0366</f>
        <v>0.0366</v>
      </c>
      <c r="J47" s="50">
        <f aca="true" t="shared" si="105" ref="J47:J48">0.044</f>
        <v>0.044</v>
      </c>
      <c r="K47" s="50">
        <f aca="true" t="shared" si="106" ref="K47:K48">0.0545</f>
        <v>0.0545</v>
      </c>
      <c r="L47" s="50">
        <f aca="true" t="shared" si="107" ref="L47:L48">0.0549</f>
        <v>0.0549</v>
      </c>
      <c r="M47" s="50">
        <f aca="true" t="shared" si="108" ref="M47:M48">0.0533</f>
        <v>0.0533</v>
      </c>
      <c r="N47" s="50">
        <f aca="true" t="shared" si="109" ref="N47:N48">0.0541</f>
        <v>0.0541</v>
      </c>
      <c r="O47" s="50">
        <f aca="true" t="shared" si="110" ref="O47:O48">0.0296</f>
        <v>0.0296</v>
      </c>
      <c r="P47" s="50">
        <f aca="true" t="shared" si="111" ref="P47:P48">0.0233</f>
        <v>0.0233</v>
      </c>
      <c r="Q47" s="50">
        <f aca="true" t="shared" si="112" ref="Q47:Q48">0.0135</f>
        <v>0.0135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0"/>
        <v>0.0365</v>
      </c>
      <c r="F48" s="47">
        <f t="shared" si="101"/>
        <v>0.0388</v>
      </c>
      <c r="G48" s="47">
        <f t="shared" si="102"/>
        <v>0.0423</v>
      </c>
      <c r="H48" s="48">
        <f t="shared" si="103"/>
        <v>0.0392</v>
      </c>
      <c r="I48" s="49">
        <f t="shared" si="104"/>
        <v>0.0366</v>
      </c>
      <c r="J48" s="50">
        <f t="shared" si="105"/>
        <v>0.044</v>
      </c>
      <c r="K48" s="50">
        <f t="shared" si="106"/>
        <v>0.0545</v>
      </c>
      <c r="L48" s="50">
        <f t="shared" si="107"/>
        <v>0.0549</v>
      </c>
      <c r="M48" s="50">
        <f t="shared" si="108"/>
        <v>0.0533</v>
      </c>
      <c r="N48" s="50">
        <f t="shared" si="109"/>
        <v>0.0541</v>
      </c>
      <c r="O48" s="50">
        <f t="shared" si="110"/>
        <v>0.0296</v>
      </c>
      <c r="P48" s="50">
        <f t="shared" si="111"/>
        <v>0.0233</v>
      </c>
      <c r="Q48" s="50">
        <f t="shared" si="112"/>
        <v>0.0135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0.0392</f>
        <v>0.0392</v>
      </c>
      <c r="I50" s="49">
        <f>0.0366</f>
        <v>0.0366</v>
      </c>
      <c r="J50" s="50">
        <f>0.044</f>
        <v>0.044</v>
      </c>
      <c r="K50" s="50">
        <f>0.0545</f>
        <v>0.0545</v>
      </c>
      <c r="L50" s="50">
        <f>0.0549</f>
        <v>0.0549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0.0233</f>
        <v>0.0233</v>
      </c>
      <c r="Q50" s="50">
        <f>0.0135</f>
        <v>0.0135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0.07182759538436637</v>
      </c>
      <c r="I51" s="49">
        <f>+IF(AND(I2&gt;=2013,I2&lt;=2018),IF(I3&lt;&gt;0,(I4+I12-I15+I18)/I3,0),IF(I3&lt;&gt;0,(I4+I12-I15)/I3,0))</f>
        <v>0.08129569702245486</v>
      </c>
      <c r="J51" s="50">
        <f>+IF(AND(J2&gt;=2013,J2&lt;=2018),IF(J3&lt;&gt;0,(J4+J12-J15+J18)/J3,0),IF(J3&lt;&gt;0,(J4+J12-J15)/J3,0))</f>
        <v>0.1584272161280759</v>
      </c>
      <c r="K51" s="50">
        <f>+IF(AND(K2&gt;=2013,K2&lt;=2018),IF(K3&lt;&gt;0,(K4+K12-K15+K18)/K3,0),IF(K3&lt;&gt;0,(K4+K12-K15)/K3,0))</f>
        <v>0.09353631011673738</v>
      </c>
      <c r="L51" s="50">
        <f>+IF(AND(L2&gt;=2013,L2&lt;=2018),IF(L3&lt;&gt;0,(L4+L12-L15+L18)/L3,0),IF(L3&lt;&gt;0,(L4+L12-L15)/L3,0))</f>
        <v>0.11642411642411643</v>
      </c>
      <c r="M51" s="50">
        <f>+IF(AND(M2&gt;=2013,M2&lt;=2018),IF(M3&lt;&gt;0,(M4+M12-M15+M18)/M3,0),IF(M3&lt;&gt;0,(M4+M12-M15)/M3,0))</f>
        <v>0.13306451612903225</v>
      </c>
      <c r="N51" s="50">
        <f>+IF(AND(N2&gt;=2013,N2&lt;=2018),IF(N3&lt;&gt;0,(N4+N12-N15+N18)/N3,0),IF(N3&lt;&gt;0,(N4+N12-N15)/N3,0))</f>
        <v>0.1487279843444227</v>
      </c>
      <c r="O51" s="50">
        <f>+IF(AND(O2&gt;=2013,O2&lt;=2018),IF(O3&lt;&gt;0,(O4+O12-O15+O18)/O3,0),IF(O3&lt;&gt;0,(O4+O12-O15)/O3,0))</f>
        <v>0.1634980988593156</v>
      </c>
      <c r="P51" s="50">
        <f>+IF(AND(P2&gt;=2013,P2&lt;=2018),IF(P3&lt;&gt;0,(P4+P12-P15+P18)/P3,0),IF(P3&lt;&gt;0,(P4+P12-P15)/P3,0))</f>
        <v>0.17744916820702403</v>
      </c>
      <c r="Q51" s="50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0.0619</f>
        <v>0.0619</v>
      </c>
      <c r="J52" s="50">
        <f>0.065</f>
        <v>0.065</v>
      </c>
      <c r="K52" s="50">
        <f>0.0921</f>
        <v>0.0921</v>
      </c>
      <c r="L52" s="50">
        <f aca="true" t="shared" si="113" ref="L52:L53">0.1111</f>
        <v>0.1111</v>
      </c>
      <c r="M52" s="50">
        <f aca="true" t="shared" si="114" ref="M52:M53">0.1228</f>
        <v>0.1228</v>
      </c>
      <c r="N52" s="50">
        <f aca="true" t="shared" si="115" ref="N52:N53">0.1143</f>
        <v>0.1143</v>
      </c>
      <c r="O52" s="50">
        <f aca="true" t="shared" si="116" ref="O52:O53">0.1327</f>
        <v>0.1327</v>
      </c>
      <c r="P52" s="50">
        <f aca="true" t="shared" si="117" ref="P52:P53">0.1484</f>
        <v>0.1484</v>
      </c>
      <c r="Q52" s="50">
        <f aca="true" t="shared" si="118" ref="Q52:Q53">0.1632</f>
        <v>0.1632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0.0737</f>
        <v>0.0737</v>
      </c>
      <c r="J53" s="50">
        <f>0.0767</f>
        <v>0.0767</v>
      </c>
      <c r="K53" s="50">
        <f>0.1038</f>
        <v>0.1038</v>
      </c>
      <c r="L53" s="50">
        <f t="shared" si="113"/>
        <v>0.1111</v>
      </c>
      <c r="M53" s="50">
        <f t="shared" si="114"/>
        <v>0.1228</v>
      </c>
      <c r="N53" s="50">
        <f t="shared" si="115"/>
        <v>0.1143</v>
      </c>
      <c r="O53" s="50">
        <f t="shared" si="116"/>
        <v>0.1327</v>
      </c>
      <c r="P53" s="50">
        <f t="shared" si="117"/>
        <v>0.1484</v>
      </c>
      <c r="Q53" s="50">
        <f t="shared" si="118"/>
        <v>0.1632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9" ref="E56:E57">0</f>
        <v>0</v>
      </c>
      <c r="F56" s="24">
        <f aca="true" t="shared" si="120" ref="F56:F57">0</f>
        <v>0</v>
      </c>
      <c r="G56" s="24">
        <f aca="true" t="shared" si="121" ref="G56:G57">0</f>
        <v>0</v>
      </c>
      <c r="H56" s="25">
        <f aca="true" t="shared" si="122" ref="H56:H57">0</f>
        <v>0</v>
      </c>
      <c r="I56" s="26">
        <f aca="true" t="shared" si="123" ref="I56:I57">0</f>
        <v>0</v>
      </c>
      <c r="J56" s="27">
        <f aca="true" t="shared" si="124" ref="J56:J57">1860004</f>
        <v>1860004</v>
      </c>
      <c r="K56" s="27">
        <f aca="true" t="shared" si="125" ref="K56:K57">2210004</f>
        <v>2210004</v>
      </c>
      <c r="L56" s="27">
        <f aca="true" t="shared" si="126" ref="L56:L57">2210004</f>
        <v>2210004</v>
      </c>
      <c r="M56" s="27">
        <f aca="true" t="shared" si="127" ref="M56:M57">2250004</f>
        <v>2250004</v>
      </c>
      <c r="N56" s="27">
        <f aca="true" t="shared" si="128" ref="N56:N57">2418000</f>
        <v>2418000</v>
      </c>
      <c r="O56" s="27">
        <f aca="true" t="shared" si="129" ref="O56:O57">1250000</f>
        <v>1250000</v>
      </c>
      <c r="P56" s="27">
        <f aca="true" t="shared" si="130" ref="P56:P57">1000000</f>
        <v>1000000</v>
      </c>
      <c r="Q56" s="27">
        <f aca="true" t="shared" si="131" ref="Q56:Q57">531933.73</f>
        <v>531933.73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9"/>
        <v>0</v>
      </c>
      <c r="F57" s="33">
        <f t="shared" si="120"/>
        <v>0</v>
      </c>
      <c r="G57" s="33">
        <f t="shared" si="121"/>
        <v>0</v>
      </c>
      <c r="H57" s="34">
        <f t="shared" si="122"/>
        <v>0</v>
      </c>
      <c r="I57" s="35">
        <f t="shared" si="123"/>
        <v>0</v>
      </c>
      <c r="J57" s="36">
        <f t="shared" si="124"/>
        <v>1860004</v>
      </c>
      <c r="K57" s="36">
        <f t="shared" si="125"/>
        <v>2210004</v>
      </c>
      <c r="L57" s="36">
        <f t="shared" si="126"/>
        <v>2210004</v>
      </c>
      <c r="M57" s="36">
        <f t="shared" si="127"/>
        <v>2250004</v>
      </c>
      <c r="N57" s="36">
        <f t="shared" si="128"/>
        <v>2418000</v>
      </c>
      <c r="O57" s="36">
        <f t="shared" si="129"/>
        <v>1250000</v>
      </c>
      <c r="P57" s="36">
        <f t="shared" si="130"/>
        <v>1000000</v>
      </c>
      <c r="Q57" s="36">
        <f t="shared" si="131"/>
        <v>531933.73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15107651.05</f>
        <v>15107651.05</v>
      </c>
      <c r="I59" s="35">
        <f>16546962.1</f>
        <v>16546962.1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2" ref="M59:M66">0</f>
        <v>0</v>
      </c>
      <c r="N59" s="36">
        <f aca="true" t="shared" si="133" ref="N59:N66">0</f>
        <v>0</v>
      </c>
      <c r="O59" s="36">
        <f aca="true" t="shared" si="134" ref="O59:O66">0</f>
        <v>0</v>
      </c>
      <c r="P59" s="36">
        <f aca="true" t="shared" si="135" ref="P59:P66">0</f>
        <v>0</v>
      </c>
      <c r="Q59" s="36">
        <f aca="true" t="shared" si="136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3429739.81</f>
        <v>3429739.81</v>
      </c>
      <c r="I60" s="35">
        <f>3731576</f>
        <v>3731576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2"/>
        <v>0</v>
      </c>
      <c r="N60" s="36">
        <f t="shared" si="133"/>
        <v>0</v>
      </c>
      <c r="O60" s="36">
        <f t="shared" si="134"/>
        <v>0</v>
      </c>
      <c r="P60" s="36">
        <f t="shared" si="135"/>
        <v>0</v>
      </c>
      <c r="Q60" s="36">
        <f t="shared" si="136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152050.07</f>
        <v>152050.07</v>
      </c>
      <c r="I61" s="35">
        <f>283317.33</f>
        <v>283317.33</v>
      </c>
      <c r="J61" s="36">
        <f>10263715.65</f>
        <v>10263715.65</v>
      </c>
      <c r="K61" s="36">
        <f>4967219.51</f>
        <v>4967219.51</v>
      </c>
      <c r="L61" s="36">
        <f aca="true" t="shared" si="137" ref="L61:L66">0</f>
        <v>0</v>
      </c>
      <c r="M61" s="36">
        <f t="shared" si="132"/>
        <v>0</v>
      </c>
      <c r="N61" s="36">
        <f t="shared" si="133"/>
        <v>0</v>
      </c>
      <c r="O61" s="36">
        <f t="shared" si="134"/>
        <v>0</v>
      </c>
      <c r="P61" s="36">
        <f t="shared" si="135"/>
        <v>0</v>
      </c>
      <c r="Q61" s="36">
        <f t="shared" si="136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61559.18</f>
        <v>61559.18</v>
      </c>
      <c r="I62" s="35">
        <f>122546.33</f>
        <v>122546.33</v>
      </c>
      <c r="J62" s="36">
        <f>176083.64</f>
        <v>176083.64</v>
      </c>
      <c r="K62" s="36">
        <f>24300</f>
        <v>24300</v>
      </c>
      <c r="L62" s="36">
        <f t="shared" si="137"/>
        <v>0</v>
      </c>
      <c r="M62" s="36">
        <f t="shared" si="132"/>
        <v>0</v>
      </c>
      <c r="N62" s="36">
        <f t="shared" si="133"/>
        <v>0</v>
      </c>
      <c r="O62" s="36">
        <f t="shared" si="134"/>
        <v>0</v>
      </c>
      <c r="P62" s="36">
        <f t="shared" si="135"/>
        <v>0</v>
      </c>
      <c r="Q62" s="36">
        <f t="shared" si="136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90490.89</f>
        <v>90490.89</v>
      </c>
      <c r="I63" s="35">
        <f>160771</f>
        <v>160771</v>
      </c>
      <c r="J63" s="36">
        <f>10087632.01</f>
        <v>10087632.01</v>
      </c>
      <c r="K63" s="36">
        <f>4942919.51</f>
        <v>4942919.51</v>
      </c>
      <c r="L63" s="36">
        <f t="shared" si="137"/>
        <v>0</v>
      </c>
      <c r="M63" s="36">
        <f t="shared" si="132"/>
        <v>0</v>
      </c>
      <c r="N63" s="36">
        <f t="shared" si="133"/>
        <v>0</v>
      </c>
      <c r="O63" s="36">
        <f t="shared" si="134"/>
        <v>0</v>
      </c>
      <c r="P63" s="36">
        <f t="shared" si="135"/>
        <v>0</v>
      </c>
      <c r="Q63" s="36">
        <f t="shared" si="136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4101913.67</f>
        <v>4101913.67</v>
      </c>
      <c r="I64" s="35">
        <f>4289870.71</f>
        <v>4289870.71</v>
      </c>
      <c r="J64" s="36">
        <f aca="true" t="shared" si="138" ref="J64:J66">0</f>
        <v>0</v>
      </c>
      <c r="K64" s="36">
        <f aca="true" t="shared" si="139" ref="K64:K66">0</f>
        <v>0</v>
      </c>
      <c r="L64" s="36">
        <f t="shared" si="137"/>
        <v>0</v>
      </c>
      <c r="M64" s="36">
        <f t="shared" si="132"/>
        <v>0</v>
      </c>
      <c r="N64" s="36">
        <f t="shared" si="133"/>
        <v>0</v>
      </c>
      <c r="O64" s="36">
        <f t="shared" si="134"/>
        <v>0</v>
      </c>
      <c r="P64" s="36">
        <f t="shared" si="135"/>
        <v>0</v>
      </c>
      <c r="Q64" s="36">
        <f t="shared" si="136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1690506.5</f>
        <v>1690506.5</v>
      </c>
      <c r="I65" s="35">
        <f>11769333.95</f>
        <v>11769333.95</v>
      </c>
      <c r="J65" s="36">
        <f t="shared" si="138"/>
        <v>0</v>
      </c>
      <c r="K65" s="36">
        <f t="shared" si="139"/>
        <v>0</v>
      </c>
      <c r="L65" s="36">
        <f t="shared" si="137"/>
        <v>0</v>
      </c>
      <c r="M65" s="36">
        <f t="shared" si="132"/>
        <v>0</v>
      </c>
      <c r="N65" s="36">
        <f t="shared" si="133"/>
        <v>0</v>
      </c>
      <c r="O65" s="36">
        <f t="shared" si="134"/>
        <v>0</v>
      </c>
      <c r="P65" s="36">
        <f t="shared" si="135"/>
        <v>0</v>
      </c>
      <c r="Q65" s="36">
        <f t="shared" si="136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423204.8</f>
        <v>423204.8</v>
      </c>
      <c r="I66" s="35">
        <f>1183711.64</f>
        <v>1183711.64</v>
      </c>
      <c r="J66" s="36">
        <f t="shared" si="138"/>
        <v>0</v>
      </c>
      <c r="K66" s="36">
        <f t="shared" si="139"/>
        <v>0</v>
      </c>
      <c r="L66" s="36">
        <f t="shared" si="137"/>
        <v>0</v>
      </c>
      <c r="M66" s="36">
        <f t="shared" si="132"/>
        <v>0</v>
      </c>
      <c r="N66" s="36">
        <f t="shared" si="133"/>
        <v>0</v>
      </c>
      <c r="O66" s="36">
        <f t="shared" si="134"/>
        <v>0</v>
      </c>
      <c r="P66" s="36">
        <f t="shared" si="135"/>
        <v>0</v>
      </c>
      <c r="Q66" s="36">
        <f t="shared" si="136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0" ref="G68:G70">80146.03</f>
        <v>80146.03</v>
      </c>
      <c r="H68" s="34">
        <f aca="true" t="shared" si="141" ref="H68:H70">11309.05</f>
        <v>11309.05</v>
      </c>
      <c r="I68" s="35">
        <f aca="true" t="shared" si="142" ref="I68:I70">91600.46</f>
        <v>91600.46</v>
      </c>
      <c r="J68" s="36">
        <f aca="true" t="shared" si="143" ref="J68:J70">51843.64</f>
        <v>51843.64</v>
      </c>
      <c r="K68" s="36">
        <f aca="true" t="shared" si="144" ref="K68:K70">14960</f>
        <v>14960</v>
      </c>
      <c r="L68" s="36">
        <f aca="true" t="shared" si="145" ref="L68:L87">0</f>
        <v>0</v>
      </c>
      <c r="M68" s="36">
        <f aca="true" t="shared" si="146" ref="M68:M87">0</f>
        <v>0</v>
      </c>
      <c r="N68" s="36">
        <f aca="true" t="shared" si="147" ref="N68:N87">0</f>
        <v>0</v>
      </c>
      <c r="O68" s="36">
        <f aca="true" t="shared" si="148" ref="O68:O87">0</f>
        <v>0</v>
      </c>
      <c r="P68" s="36">
        <f aca="true" t="shared" si="149" ref="P68:P87">0</f>
        <v>0</v>
      </c>
      <c r="Q68" s="36">
        <f aca="true" t="shared" si="150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1" ref="E69:E70">400393.51</f>
        <v>400393.51</v>
      </c>
      <c r="F69" s="33">
        <f aca="true" t="shared" si="152" ref="F69:F70">431833.84</f>
        <v>431833.84</v>
      </c>
      <c r="G69" s="33">
        <f t="shared" si="140"/>
        <v>80146.03</v>
      </c>
      <c r="H69" s="34">
        <f t="shared" si="141"/>
        <v>11309.05</v>
      </c>
      <c r="I69" s="35">
        <f t="shared" si="142"/>
        <v>91600.46</v>
      </c>
      <c r="J69" s="36">
        <f t="shared" si="143"/>
        <v>51843.64</v>
      </c>
      <c r="K69" s="36">
        <f t="shared" si="144"/>
        <v>14960</v>
      </c>
      <c r="L69" s="36">
        <f t="shared" si="145"/>
        <v>0</v>
      </c>
      <c r="M69" s="36">
        <f t="shared" si="146"/>
        <v>0</v>
      </c>
      <c r="N69" s="36">
        <f t="shared" si="147"/>
        <v>0</v>
      </c>
      <c r="O69" s="36">
        <f t="shared" si="148"/>
        <v>0</v>
      </c>
      <c r="P69" s="36">
        <f t="shared" si="149"/>
        <v>0</v>
      </c>
      <c r="Q69" s="36">
        <f t="shared" si="150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1"/>
        <v>400393.51</v>
      </c>
      <c r="F70" s="33">
        <f t="shared" si="152"/>
        <v>431833.84</v>
      </c>
      <c r="G70" s="33">
        <f t="shared" si="140"/>
        <v>80146.03</v>
      </c>
      <c r="H70" s="34">
        <f t="shared" si="141"/>
        <v>11309.05</v>
      </c>
      <c r="I70" s="35">
        <f t="shared" si="142"/>
        <v>91600.46</v>
      </c>
      <c r="J70" s="36">
        <f t="shared" si="143"/>
        <v>51843.64</v>
      </c>
      <c r="K70" s="36">
        <f t="shared" si="144"/>
        <v>14960</v>
      </c>
      <c r="L70" s="36">
        <f t="shared" si="145"/>
        <v>0</v>
      </c>
      <c r="M70" s="36">
        <f t="shared" si="146"/>
        <v>0</v>
      </c>
      <c r="N70" s="36">
        <f t="shared" si="147"/>
        <v>0</v>
      </c>
      <c r="O70" s="36">
        <f t="shared" si="148"/>
        <v>0</v>
      </c>
      <c r="P70" s="36">
        <f t="shared" si="149"/>
        <v>0</v>
      </c>
      <c r="Q70" s="36">
        <f t="shared" si="150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3" ref="E71:E73">83947.5</f>
        <v>83947.5</v>
      </c>
      <c r="F71" s="33">
        <f aca="true" t="shared" si="154" ref="F71:F73">688086.58</f>
        <v>688086.58</v>
      </c>
      <c r="G71" s="33">
        <f aca="true" t="shared" si="155" ref="G71:G73">799078.34</f>
        <v>799078.34</v>
      </c>
      <c r="H71" s="34">
        <f aca="true" t="shared" si="156" ref="H71:H73">588143.98</f>
        <v>588143.98</v>
      </c>
      <c r="I71" s="35">
        <f aca="true" t="shared" si="157" ref="I71:I73">3201404.52</f>
        <v>3201404.52</v>
      </c>
      <c r="J71" s="36">
        <f aca="true" t="shared" si="158" ref="J71:J73">2968000</f>
        <v>2968000</v>
      </c>
      <c r="K71" s="36">
        <f aca="true" t="shared" si="159" ref="K71:K73">1801250.1</f>
        <v>1801250.1</v>
      </c>
      <c r="L71" s="36">
        <f t="shared" si="145"/>
        <v>0</v>
      </c>
      <c r="M71" s="36">
        <f t="shared" si="146"/>
        <v>0</v>
      </c>
      <c r="N71" s="36">
        <f t="shared" si="147"/>
        <v>0</v>
      </c>
      <c r="O71" s="36">
        <f t="shared" si="148"/>
        <v>0</v>
      </c>
      <c r="P71" s="36">
        <f t="shared" si="149"/>
        <v>0</v>
      </c>
      <c r="Q71" s="36">
        <f t="shared" si="150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3"/>
        <v>83947.5</v>
      </c>
      <c r="F72" s="33">
        <f t="shared" si="154"/>
        <v>688086.58</v>
      </c>
      <c r="G72" s="33">
        <f t="shared" si="155"/>
        <v>799078.34</v>
      </c>
      <c r="H72" s="34">
        <f t="shared" si="156"/>
        <v>588143.98</v>
      </c>
      <c r="I72" s="35">
        <f t="shared" si="157"/>
        <v>3201404.52</v>
      </c>
      <c r="J72" s="36">
        <f t="shared" si="158"/>
        <v>2968000</v>
      </c>
      <c r="K72" s="36">
        <f t="shared" si="159"/>
        <v>1801250.1</v>
      </c>
      <c r="L72" s="36">
        <f t="shared" si="145"/>
        <v>0</v>
      </c>
      <c r="M72" s="36">
        <f t="shared" si="146"/>
        <v>0</v>
      </c>
      <c r="N72" s="36">
        <f t="shared" si="147"/>
        <v>0</v>
      </c>
      <c r="O72" s="36">
        <f t="shared" si="148"/>
        <v>0</v>
      </c>
      <c r="P72" s="36">
        <f t="shared" si="149"/>
        <v>0</v>
      </c>
      <c r="Q72" s="36">
        <f t="shared" si="150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3"/>
        <v>83947.5</v>
      </c>
      <c r="F73" s="33">
        <f t="shared" si="154"/>
        <v>688086.58</v>
      </c>
      <c r="G73" s="33">
        <f t="shared" si="155"/>
        <v>799078.34</v>
      </c>
      <c r="H73" s="34">
        <f t="shared" si="156"/>
        <v>588143.98</v>
      </c>
      <c r="I73" s="35">
        <f t="shared" si="157"/>
        <v>3201404.52</v>
      </c>
      <c r="J73" s="36">
        <f t="shared" si="158"/>
        <v>2968000</v>
      </c>
      <c r="K73" s="36">
        <f t="shared" si="159"/>
        <v>1801250.1</v>
      </c>
      <c r="L73" s="36">
        <f t="shared" si="145"/>
        <v>0</v>
      </c>
      <c r="M73" s="36">
        <f t="shared" si="146"/>
        <v>0</v>
      </c>
      <c r="N73" s="36">
        <f t="shared" si="147"/>
        <v>0</v>
      </c>
      <c r="O73" s="36">
        <f t="shared" si="148"/>
        <v>0</v>
      </c>
      <c r="P73" s="36">
        <f t="shared" si="149"/>
        <v>0</v>
      </c>
      <c r="Q73" s="36">
        <f t="shared" si="150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107124.68</f>
        <v>107124.68</v>
      </c>
      <c r="I74" s="35">
        <f>77546.33</f>
        <v>77546.33</v>
      </c>
      <c r="J74" s="36">
        <f>71083.64</f>
        <v>71083.64</v>
      </c>
      <c r="K74" s="36">
        <f>24300</f>
        <v>24300</v>
      </c>
      <c r="L74" s="36">
        <f t="shared" si="145"/>
        <v>0</v>
      </c>
      <c r="M74" s="36">
        <f t="shared" si="146"/>
        <v>0</v>
      </c>
      <c r="N74" s="36">
        <f t="shared" si="147"/>
        <v>0</v>
      </c>
      <c r="O74" s="36">
        <f t="shared" si="148"/>
        <v>0</v>
      </c>
      <c r="P74" s="36">
        <f t="shared" si="149"/>
        <v>0</v>
      </c>
      <c r="Q74" s="36">
        <f t="shared" si="150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83581.4</f>
        <v>83581.4</v>
      </c>
      <c r="I75" s="35">
        <f>51152.44</f>
        <v>51152.44</v>
      </c>
      <c r="J75" s="36">
        <f>51843.64</f>
        <v>51843.64</v>
      </c>
      <c r="K75" s="36">
        <f>14960</f>
        <v>14960</v>
      </c>
      <c r="L75" s="36">
        <f t="shared" si="145"/>
        <v>0</v>
      </c>
      <c r="M75" s="36">
        <f t="shared" si="146"/>
        <v>0</v>
      </c>
      <c r="N75" s="36">
        <f t="shared" si="147"/>
        <v>0</v>
      </c>
      <c r="O75" s="36">
        <f t="shared" si="148"/>
        <v>0</v>
      </c>
      <c r="P75" s="36">
        <f t="shared" si="149"/>
        <v>0</v>
      </c>
      <c r="Q75" s="36">
        <f t="shared" si="150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107124.68</f>
        <v>107124.68</v>
      </c>
      <c r="I76" s="35">
        <f>77546.33</f>
        <v>77546.33</v>
      </c>
      <c r="J76" s="36">
        <f>71083.64</f>
        <v>71083.64</v>
      </c>
      <c r="K76" s="36">
        <f>24300</f>
        <v>24300</v>
      </c>
      <c r="L76" s="36">
        <f t="shared" si="145"/>
        <v>0</v>
      </c>
      <c r="M76" s="36">
        <f t="shared" si="146"/>
        <v>0</v>
      </c>
      <c r="N76" s="36">
        <f t="shared" si="147"/>
        <v>0</v>
      </c>
      <c r="O76" s="36">
        <f t="shared" si="148"/>
        <v>0</v>
      </c>
      <c r="P76" s="36">
        <f t="shared" si="149"/>
        <v>0</v>
      </c>
      <c r="Q76" s="36">
        <f t="shared" si="150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0" ref="E77:E79">27120</f>
        <v>27120</v>
      </c>
      <c r="F77" s="33">
        <f aca="true" t="shared" si="161" ref="F77:F79">0</f>
        <v>0</v>
      </c>
      <c r="G77" s="33">
        <f>1540718.69</f>
        <v>1540718.69</v>
      </c>
      <c r="H77" s="34">
        <f>1540718.69</f>
        <v>1540718.69</v>
      </c>
      <c r="I77" s="35">
        <f>4289870.71</f>
        <v>4289870.71</v>
      </c>
      <c r="J77" s="36">
        <f>5872632.01</f>
        <v>5872632.01</v>
      </c>
      <c r="K77" s="36">
        <f>4111919.51</f>
        <v>4111919.51</v>
      </c>
      <c r="L77" s="36">
        <f t="shared" si="145"/>
        <v>0</v>
      </c>
      <c r="M77" s="36">
        <f t="shared" si="146"/>
        <v>0</v>
      </c>
      <c r="N77" s="36">
        <f t="shared" si="147"/>
        <v>0</v>
      </c>
      <c r="O77" s="36">
        <f t="shared" si="148"/>
        <v>0</v>
      </c>
      <c r="P77" s="36">
        <f t="shared" si="149"/>
        <v>0</v>
      </c>
      <c r="Q77" s="36">
        <f t="shared" si="150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0"/>
        <v>27120</v>
      </c>
      <c r="F78" s="33">
        <f t="shared" si="161"/>
        <v>0</v>
      </c>
      <c r="G78" s="33">
        <f>767543.08</f>
        <v>767543.08</v>
      </c>
      <c r="H78" s="34">
        <f>767543.06</f>
        <v>767543.06</v>
      </c>
      <c r="I78" s="35">
        <f>2970368.09</f>
        <v>2970368.09</v>
      </c>
      <c r="J78" s="36">
        <f>2968000</f>
        <v>2968000</v>
      </c>
      <c r="K78" s="36">
        <f>1801250.1</f>
        <v>1801250.1</v>
      </c>
      <c r="L78" s="36">
        <f t="shared" si="145"/>
        <v>0</v>
      </c>
      <c r="M78" s="36">
        <f t="shared" si="146"/>
        <v>0</v>
      </c>
      <c r="N78" s="36">
        <f t="shared" si="147"/>
        <v>0</v>
      </c>
      <c r="O78" s="36">
        <f t="shared" si="148"/>
        <v>0</v>
      </c>
      <c r="P78" s="36">
        <f t="shared" si="149"/>
        <v>0</v>
      </c>
      <c r="Q78" s="36">
        <f t="shared" si="150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0"/>
        <v>27120</v>
      </c>
      <c r="F79" s="33">
        <f t="shared" si="161"/>
        <v>0</v>
      </c>
      <c r="G79" s="33">
        <f>1540718.69</f>
        <v>1540718.69</v>
      </c>
      <c r="H79" s="34">
        <f>1540718.69</f>
        <v>1540718.69</v>
      </c>
      <c r="I79" s="35">
        <f>4289870.71</f>
        <v>4289870.71</v>
      </c>
      <c r="J79" s="36">
        <f>5872632.01</f>
        <v>5872632.01</v>
      </c>
      <c r="K79" s="36">
        <f>4111919.51</f>
        <v>4111919.51</v>
      </c>
      <c r="L79" s="36">
        <f t="shared" si="145"/>
        <v>0</v>
      </c>
      <c r="M79" s="36">
        <f t="shared" si="146"/>
        <v>0</v>
      </c>
      <c r="N79" s="36">
        <f t="shared" si="147"/>
        <v>0</v>
      </c>
      <c r="O79" s="36">
        <f t="shared" si="148"/>
        <v>0</v>
      </c>
      <c r="P79" s="36">
        <f t="shared" si="149"/>
        <v>0</v>
      </c>
      <c r="Q79" s="36">
        <f t="shared" si="150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2" ref="E80:E87">0</f>
        <v>0</v>
      </c>
      <c r="F80" s="33">
        <f aca="true" t="shared" si="163" ref="F80:F81">4457.24</f>
        <v>4457.24</v>
      </c>
      <c r="G80" s="33">
        <f aca="true" t="shared" si="164" ref="G80:G81">789481.95</f>
        <v>789481.95</v>
      </c>
      <c r="H80" s="34">
        <f aca="true" t="shared" si="165" ref="H80:H81">796718.89</f>
        <v>796718.89</v>
      </c>
      <c r="I80" s="35">
        <f aca="true" t="shared" si="166" ref="I80:I81">1345896.51</f>
        <v>1345896.51</v>
      </c>
      <c r="J80" s="36">
        <f aca="true" t="shared" si="167" ref="J80:J81">2923872.01</f>
        <v>2923872.01</v>
      </c>
      <c r="K80" s="36">
        <f aca="true" t="shared" si="168" ref="K80:K81">2320009.41</f>
        <v>2320009.41</v>
      </c>
      <c r="L80" s="36">
        <f t="shared" si="145"/>
        <v>0</v>
      </c>
      <c r="M80" s="36">
        <f t="shared" si="146"/>
        <v>0</v>
      </c>
      <c r="N80" s="36">
        <f t="shared" si="147"/>
        <v>0</v>
      </c>
      <c r="O80" s="36">
        <f t="shared" si="148"/>
        <v>0</v>
      </c>
      <c r="P80" s="36">
        <f t="shared" si="149"/>
        <v>0</v>
      </c>
      <c r="Q80" s="36">
        <f t="shared" si="150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2"/>
        <v>0</v>
      </c>
      <c r="F81" s="33">
        <f t="shared" si="163"/>
        <v>4457.24</v>
      </c>
      <c r="G81" s="33">
        <f t="shared" si="164"/>
        <v>789481.95</v>
      </c>
      <c r="H81" s="34">
        <f t="shared" si="165"/>
        <v>796718.89</v>
      </c>
      <c r="I81" s="35">
        <f t="shared" si="166"/>
        <v>1345896.51</v>
      </c>
      <c r="J81" s="36">
        <f t="shared" si="167"/>
        <v>2923872.01</v>
      </c>
      <c r="K81" s="36">
        <f t="shared" si="168"/>
        <v>2320009.41</v>
      </c>
      <c r="L81" s="36">
        <f t="shared" si="145"/>
        <v>0</v>
      </c>
      <c r="M81" s="36">
        <f t="shared" si="146"/>
        <v>0</v>
      </c>
      <c r="N81" s="36">
        <f t="shared" si="147"/>
        <v>0</v>
      </c>
      <c r="O81" s="36">
        <f t="shared" si="148"/>
        <v>0</v>
      </c>
      <c r="P81" s="36">
        <f t="shared" si="149"/>
        <v>0</v>
      </c>
      <c r="Q81" s="36">
        <f t="shared" si="150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2"/>
        <v>0</v>
      </c>
      <c r="F82" s="33">
        <f aca="true" t="shared" si="169" ref="F82:F87">0</f>
        <v>0</v>
      </c>
      <c r="G82" s="33">
        <f aca="true" t="shared" si="170" ref="G82:G87">0</f>
        <v>0</v>
      </c>
      <c r="H82" s="34">
        <f aca="true" t="shared" si="171" ref="H82:H87">0</f>
        <v>0</v>
      </c>
      <c r="I82" s="35">
        <f aca="true" t="shared" si="172" ref="I82:I87">0</f>
        <v>0</v>
      </c>
      <c r="J82" s="36">
        <f aca="true" t="shared" si="173" ref="J82:J87">0</f>
        <v>0</v>
      </c>
      <c r="K82" s="36">
        <f aca="true" t="shared" si="174" ref="K82:K87">0</f>
        <v>0</v>
      </c>
      <c r="L82" s="36">
        <f t="shared" si="145"/>
        <v>0</v>
      </c>
      <c r="M82" s="36">
        <f t="shared" si="146"/>
        <v>0</v>
      </c>
      <c r="N82" s="36">
        <f t="shared" si="147"/>
        <v>0</v>
      </c>
      <c r="O82" s="36">
        <f t="shared" si="148"/>
        <v>0</v>
      </c>
      <c r="P82" s="36">
        <f t="shared" si="149"/>
        <v>0</v>
      </c>
      <c r="Q82" s="36">
        <f t="shared" si="150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2"/>
        <v>0</v>
      </c>
      <c r="F83" s="33">
        <f t="shared" si="169"/>
        <v>0</v>
      </c>
      <c r="G83" s="33">
        <f t="shared" si="170"/>
        <v>0</v>
      </c>
      <c r="H83" s="34">
        <f t="shared" si="171"/>
        <v>0</v>
      </c>
      <c r="I83" s="35">
        <f t="shared" si="172"/>
        <v>0</v>
      </c>
      <c r="J83" s="36">
        <f t="shared" si="173"/>
        <v>0</v>
      </c>
      <c r="K83" s="36">
        <f t="shared" si="174"/>
        <v>0</v>
      </c>
      <c r="L83" s="36">
        <f t="shared" si="145"/>
        <v>0</v>
      </c>
      <c r="M83" s="36">
        <f t="shared" si="146"/>
        <v>0</v>
      </c>
      <c r="N83" s="36">
        <f t="shared" si="147"/>
        <v>0</v>
      </c>
      <c r="O83" s="36">
        <f t="shared" si="148"/>
        <v>0</v>
      </c>
      <c r="P83" s="36">
        <f t="shared" si="149"/>
        <v>0</v>
      </c>
      <c r="Q83" s="36">
        <f t="shared" si="150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2"/>
        <v>0</v>
      </c>
      <c r="F84" s="33">
        <f t="shared" si="169"/>
        <v>0</v>
      </c>
      <c r="G84" s="33">
        <f t="shared" si="170"/>
        <v>0</v>
      </c>
      <c r="H84" s="34">
        <f t="shared" si="171"/>
        <v>0</v>
      </c>
      <c r="I84" s="35">
        <f t="shared" si="172"/>
        <v>0</v>
      </c>
      <c r="J84" s="36">
        <f t="shared" si="173"/>
        <v>0</v>
      </c>
      <c r="K84" s="36">
        <f t="shared" si="174"/>
        <v>0</v>
      </c>
      <c r="L84" s="36">
        <f t="shared" si="145"/>
        <v>0</v>
      </c>
      <c r="M84" s="36">
        <f t="shared" si="146"/>
        <v>0</v>
      </c>
      <c r="N84" s="36">
        <f t="shared" si="147"/>
        <v>0</v>
      </c>
      <c r="O84" s="36">
        <f t="shared" si="148"/>
        <v>0</v>
      </c>
      <c r="P84" s="36">
        <f t="shared" si="149"/>
        <v>0</v>
      </c>
      <c r="Q84" s="36">
        <f t="shared" si="150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2"/>
        <v>0</v>
      </c>
      <c r="F85" s="33">
        <f t="shared" si="169"/>
        <v>0</v>
      </c>
      <c r="G85" s="33">
        <f t="shared" si="170"/>
        <v>0</v>
      </c>
      <c r="H85" s="34">
        <f t="shared" si="171"/>
        <v>0</v>
      </c>
      <c r="I85" s="35">
        <f t="shared" si="172"/>
        <v>0</v>
      </c>
      <c r="J85" s="36">
        <f t="shared" si="173"/>
        <v>0</v>
      </c>
      <c r="K85" s="36">
        <f t="shared" si="174"/>
        <v>0</v>
      </c>
      <c r="L85" s="36">
        <f t="shared" si="145"/>
        <v>0</v>
      </c>
      <c r="M85" s="36">
        <f t="shared" si="146"/>
        <v>0</v>
      </c>
      <c r="N85" s="36">
        <f t="shared" si="147"/>
        <v>0</v>
      </c>
      <c r="O85" s="36">
        <f t="shared" si="148"/>
        <v>0</v>
      </c>
      <c r="P85" s="36">
        <f t="shared" si="149"/>
        <v>0</v>
      </c>
      <c r="Q85" s="36">
        <f t="shared" si="150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2"/>
        <v>0</v>
      </c>
      <c r="F86" s="33">
        <f t="shared" si="169"/>
        <v>0</v>
      </c>
      <c r="G86" s="33">
        <f t="shared" si="170"/>
        <v>0</v>
      </c>
      <c r="H86" s="34">
        <f t="shared" si="171"/>
        <v>0</v>
      </c>
      <c r="I86" s="35">
        <f t="shared" si="172"/>
        <v>0</v>
      </c>
      <c r="J86" s="36">
        <f t="shared" si="173"/>
        <v>0</v>
      </c>
      <c r="K86" s="36">
        <f t="shared" si="174"/>
        <v>0</v>
      </c>
      <c r="L86" s="36">
        <f t="shared" si="145"/>
        <v>0</v>
      </c>
      <c r="M86" s="36">
        <f t="shared" si="146"/>
        <v>0</v>
      </c>
      <c r="N86" s="36">
        <f t="shared" si="147"/>
        <v>0</v>
      </c>
      <c r="O86" s="36">
        <f t="shared" si="148"/>
        <v>0</v>
      </c>
      <c r="P86" s="36">
        <f t="shared" si="149"/>
        <v>0</v>
      </c>
      <c r="Q86" s="36">
        <f t="shared" si="150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2"/>
        <v>0</v>
      </c>
      <c r="F87" s="33">
        <f t="shared" si="169"/>
        <v>0</v>
      </c>
      <c r="G87" s="33">
        <f t="shared" si="170"/>
        <v>0</v>
      </c>
      <c r="H87" s="34">
        <f t="shared" si="171"/>
        <v>0</v>
      </c>
      <c r="I87" s="35">
        <f t="shared" si="172"/>
        <v>0</v>
      </c>
      <c r="J87" s="36">
        <f t="shared" si="173"/>
        <v>0</v>
      </c>
      <c r="K87" s="36">
        <f t="shared" si="174"/>
        <v>0</v>
      </c>
      <c r="L87" s="36">
        <f t="shared" si="145"/>
        <v>0</v>
      </c>
      <c r="M87" s="36">
        <f t="shared" si="146"/>
        <v>0</v>
      </c>
      <c r="N87" s="36">
        <f t="shared" si="147"/>
        <v>0</v>
      </c>
      <c r="O87" s="36">
        <f t="shared" si="148"/>
        <v>0</v>
      </c>
      <c r="P87" s="36">
        <f t="shared" si="149"/>
        <v>0</v>
      </c>
      <c r="Q87" s="36">
        <f t="shared" si="150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5" ref="E89:E95">0</f>
        <v>0</v>
      </c>
      <c r="F89" s="33">
        <f aca="true" t="shared" si="176" ref="F89:F95">0</f>
        <v>0</v>
      </c>
      <c r="G89" s="33">
        <f aca="true" t="shared" si="177" ref="G89:G95">0</f>
        <v>0</v>
      </c>
      <c r="H89" s="34">
        <f aca="true" t="shared" si="178" ref="H89:H95">0</f>
        <v>0</v>
      </c>
      <c r="I89" s="35">
        <f aca="true" t="shared" si="179" ref="I89:I95">0</f>
        <v>0</v>
      </c>
      <c r="J89" s="36">
        <f aca="true" t="shared" si="180" ref="J89:J95">0</f>
        <v>0</v>
      </c>
      <c r="K89" s="36">
        <f aca="true" t="shared" si="181" ref="K89:K95">0</f>
        <v>0</v>
      </c>
      <c r="L89" s="36">
        <f aca="true" t="shared" si="182" ref="L89:L95">0</f>
        <v>0</v>
      </c>
      <c r="M89" s="36">
        <f aca="true" t="shared" si="183" ref="M89:M95">0</f>
        <v>0</v>
      </c>
      <c r="N89" s="36">
        <f aca="true" t="shared" si="184" ref="N89:N95">0</f>
        <v>0</v>
      </c>
      <c r="O89" s="36">
        <f aca="true" t="shared" si="185" ref="O89:O95">0</f>
        <v>0</v>
      </c>
      <c r="P89" s="36">
        <f aca="true" t="shared" si="186" ref="P89:P95">0</f>
        <v>0</v>
      </c>
      <c r="Q89" s="36">
        <f aca="true" t="shared" si="187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5"/>
        <v>0</v>
      </c>
      <c r="F90" s="33">
        <f t="shared" si="176"/>
        <v>0</v>
      </c>
      <c r="G90" s="33">
        <f t="shared" si="177"/>
        <v>0</v>
      </c>
      <c r="H90" s="34">
        <f t="shared" si="178"/>
        <v>0</v>
      </c>
      <c r="I90" s="35">
        <f t="shared" si="179"/>
        <v>0</v>
      </c>
      <c r="J90" s="36">
        <f t="shared" si="180"/>
        <v>0</v>
      </c>
      <c r="K90" s="36">
        <f t="shared" si="181"/>
        <v>0</v>
      </c>
      <c r="L90" s="36">
        <f t="shared" si="182"/>
        <v>0</v>
      </c>
      <c r="M90" s="36">
        <f t="shared" si="183"/>
        <v>0</v>
      </c>
      <c r="N90" s="36">
        <f t="shared" si="184"/>
        <v>0</v>
      </c>
      <c r="O90" s="36">
        <f t="shared" si="185"/>
        <v>0</v>
      </c>
      <c r="P90" s="36">
        <f t="shared" si="186"/>
        <v>0</v>
      </c>
      <c r="Q90" s="36">
        <f t="shared" si="187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5"/>
        <v>0</v>
      </c>
      <c r="F91" s="33">
        <f t="shared" si="176"/>
        <v>0</v>
      </c>
      <c r="G91" s="33">
        <f t="shared" si="177"/>
        <v>0</v>
      </c>
      <c r="H91" s="34">
        <f t="shared" si="178"/>
        <v>0</v>
      </c>
      <c r="I91" s="35">
        <f t="shared" si="179"/>
        <v>0</v>
      </c>
      <c r="J91" s="36">
        <f t="shared" si="180"/>
        <v>0</v>
      </c>
      <c r="K91" s="36">
        <f t="shared" si="181"/>
        <v>0</v>
      </c>
      <c r="L91" s="36">
        <f t="shared" si="182"/>
        <v>0</v>
      </c>
      <c r="M91" s="36">
        <f t="shared" si="183"/>
        <v>0</v>
      </c>
      <c r="N91" s="36">
        <f t="shared" si="184"/>
        <v>0</v>
      </c>
      <c r="O91" s="36">
        <f t="shared" si="185"/>
        <v>0</v>
      </c>
      <c r="P91" s="36">
        <f t="shared" si="186"/>
        <v>0</v>
      </c>
      <c r="Q91" s="36">
        <f t="shared" si="187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5"/>
        <v>0</v>
      </c>
      <c r="F92" s="33">
        <f t="shared" si="176"/>
        <v>0</v>
      </c>
      <c r="G92" s="33">
        <f t="shared" si="177"/>
        <v>0</v>
      </c>
      <c r="H92" s="34">
        <f t="shared" si="178"/>
        <v>0</v>
      </c>
      <c r="I92" s="35">
        <f t="shared" si="179"/>
        <v>0</v>
      </c>
      <c r="J92" s="36">
        <f t="shared" si="180"/>
        <v>0</v>
      </c>
      <c r="K92" s="36">
        <f t="shared" si="181"/>
        <v>0</v>
      </c>
      <c r="L92" s="36">
        <f t="shared" si="182"/>
        <v>0</v>
      </c>
      <c r="M92" s="36">
        <f t="shared" si="183"/>
        <v>0</v>
      </c>
      <c r="N92" s="36">
        <f t="shared" si="184"/>
        <v>0</v>
      </c>
      <c r="O92" s="36">
        <f t="shared" si="185"/>
        <v>0</v>
      </c>
      <c r="P92" s="36">
        <f t="shared" si="186"/>
        <v>0</v>
      </c>
      <c r="Q92" s="36">
        <f t="shared" si="187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5"/>
        <v>0</v>
      </c>
      <c r="F93" s="33">
        <f t="shared" si="176"/>
        <v>0</v>
      </c>
      <c r="G93" s="33">
        <f t="shared" si="177"/>
        <v>0</v>
      </c>
      <c r="H93" s="34">
        <f t="shared" si="178"/>
        <v>0</v>
      </c>
      <c r="I93" s="35">
        <f t="shared" si="179"/>
        <v>0</v>
      </c>
      <c r="J93" s="36">
        <f t="shared" si="180"/>
        <v>0</v>
      </c>
      <c r="K93" s="36">
        <f t="shared" si="181"/>
        <v>0</v>
      </c>
      <c r="L93" s="36">
        <f t="shared" si="182"/>
        <v>0</v>
      </c>
      <c r="M93" s="36">
        <f t="shared" si="183"/>
        <v>0</v>
      </c>
      <c r="N93" s="36">
        <f t="shared" si="184"/>
        <v>0</v>
      </c>
      <c r="O93" s="36">
        <f t="shared" si="185"/>
        <v>0</v>
      </c>
      <c r="P93" s="36">
        <f t="shared" si="186"/>
        <v>0</v>
      </c>
      <c r="Q93" s="36">
        <f t="shared" si="187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5"/>
        <v>0</v>
      </c>
      <c r="F94" s="33">
        <f t="shared" si="176"/>
        <v>0</v>
      </c>
      <c r="G94" s="33">
        <f t="shared" si="177"/>
        <v>0</v>
      </c>
      <c r="H94" s="34">
        <f t="shared" si="178"/>
        <v>0</v>
      </c>
      <c r="I94" s="35">
        <f t="shared" si="179"/>
        <v>0</v>
      </c>
      <c r="J94" s="36">
        <f t="shared" si="180"/>
        <v>0</v>
      </c>
      <c r="K94" s="36">
        <f t="shared" si="181"/>
        <v>0</v>
      </c>
      <c r="L94" s="36">
        <f t="shared" si="182"/>
        <v>0</v>
      </c>
      <c r="M94" s="36">
        <f t="shared" si="183"/>
        <v>0</v>
      </c>
      <c r="N94" s="36">
        <f t="shared" si="184"/>
        <v>0</v>
      </c>
      <c r="O94" s="36">
        <f t="shared" si="185"/>
        <v>0</v>
      </c>
      <c r="P94" s="36">
        <f t="shared" si="186"/>
        <v>0</v>
      </c>
      <c r="Q94" s="36">
        <f t="shared" si="187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5"/>
        <v>0</v>
      </c>
      <c r="F95" s="33">
        <f t="shared" si="176"/>
        <v>0</v>
      </c>
      <c r="G95" s="33">
        <f t="shared" si="177"/>
        <v>0</v>
      </c>
      <c r="H95" s="34">
        <f t="shared" si="178"/>
        <v>0</v>
      </c>
      <c r="I95" s="35">
        <f t="shared" si="179"/>
        <v>0</v>
      </c>
      <c r="J95" s="36">
        <f t="shared" si="180"/>
        <v>0</v>
      </c>
      <c r="K95" s="36">
        <f t="shared" si="181"/>
        <v>0</v>
      </c>
      <c r="L95" s="36">
        <f t="shared" si="182"/>
        <v>0</v>
      </c>
      <c r="M95" s="36">
        <f t="shared" si="183"/>
        <v>0</v>
      </c>
      <c r="N95" s="36">
        <f t="shared" si="184"/>
        <v>0</v>
      </c>
      <c r="O95" s="36">
        <f t="shared" si="185"/>
        <v>0</v>
      </c>
      <c r="P95" s="36">
        <f t="shared" si="186"/>
        <v>0</v>
      </c>
      <c r="Q95" s="36">
        <f t="shared" si="187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88" ref="G97:G103">0</f>
        <v>0</v>
      </c>
      <c r="H97" s="34">
        <f aca="true" t="shared" si="189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0" ref="P97:P103">0</f>
        <v>0</v>
      </c>
      <c r="Q97" s="36">
        <f aca="true" t="shared" si="191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2" ref="E98:E103">0</f>
        <v>0</v>
      </c>
      <c r="F98" s="33">
        <f aca="true" t="shared" si="193" ref="F98:F103">0</f>
        <v>0</v>
      </c>
      <c r="G98" s="33">
        <f t="shared" si="188"/>
        <v>0</v>
      </c>
      <c r="H98" s="34">
        <f t="shared" si="189"/>
        <v>0</v>
      </c>
      <c r="I98" s="35">
        <f aca="true" t="shared" si="194" ref="I98:I103">0</f>
        <v>0</v>
      </c>
      <c r="J98" s="36">
        <f aca="true" t="shared" si="195" ref="J98:J103">0</f>
        <v>0</v>
      </c>
      <c r="K98" s="36">
        <f aca="true" t="shared" si="196" ref="K98:K103">0</f>
        <v>0</v>
      </c>
      <c r="L98" s="36">
        <f aca="true" t="shared" si="197" ref="L98:L103">0</f>
        <v>0</v>
      </c>
      <c r="M98" s="36">
        <f aca="true" t="shared" si="198" ref="M98:M103">0</f>
        <v>0</v>
      </c>
      <c r="N98" s="36">
        <f aca="true" t="shared" si="199" ref="N98:N103">0</f>
        <v>0</v>
      </c>
      <c r="O98" s="36">
        <f aca="true" t="shared" si="200" ref="O98:O103">0</f>
        <v>0</v>
      </c>
      <c r="P98" s="36">
        <f t="shared" si="190"/>
        <v>0</v>
      </c>
      <c r="Q98" s="36">
        <f t="shared" si="191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2"/>
        <v>0</v>
      </c>
      <c r="F99" s="33">
        <f t="shared" si="193"/>
        <v>0</v>
      </c>
      <c r="G99" s="33">
        <f t="shared" si="188"/>
        <v>0</v>
      </c>
      <c r="H99" s="34">
        <f t="shared" si="189"/>
        <v>0</v>
      </c>
      <c r="I99" s="35">
        <f t="shared" si="194"/>
        <v>0</v>
      </c>
      <c r="J99" s="36">
        <f t="shared" si="195"/>
        <v>0</v>
      </c>
      <c r="K99" s="36">
        <f t="shared" si="196"/>
        <v>0</v>
      </c>
      <c r="L99" s="36">
        <f t="shared" si="197"/>
        <v>0</v>
      </c>
      <c r="M99" s="36">
        <f t="shared" si="198"/>
        <v>0</v>
      </c>
      <c r="N99" s="36">
        <f t="shared" si="199"/>
        <v>0</v>
      </c>
      <c r="O99" s="36">
        <f t="shared" si="200"/>
        <v>0</v>
      </c>
      <c r="P99" s="36">
        <f t="shared" si="190"/>
        <v>0</v>
      </c>
      <c r="Q99" s="36">
        <f t="shared" si="191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2"/>
        <v>0</v>
      </c>
      <c r="F100" s="33">
        <f t="shared" si="193"/>
        <v>0</v>
      </c>
      <c r="G100" s="33">
        <f t="shared" si="188"/>
        <v>0</v>
      </c>
      <c r="H100" s="34">
        <f t="shared" si="189"/>
        <v>0</v>
      </c>
      <c r="I100" s="35">
        <f t="shared" si="194"/>
        <v>0</v>
      </c>
      <c r="J100" s="36">
        <f t="shared" si="195"/>
        <v>0</v>
      </c>
      <c r="K100" s="36">
        <f t="shared" si="196"/>
        <v>0</v>
      </c>
      <c r="L100" s="36">
        <f t="shared" si="197"/>
        <v>0</v>
      </c>
      <c r="M100" s="36">
        <f t="shared" si="198"/>
        <v>0</v>
      </c>
      <c r="N100" s="36">
        <f t="shared" si="199"/>
        <v>0</v>
      </c>
      <c r="O100" s="36">
        <f t="shared" si="200"/>
        <v>0</v>
      </c>
      <c r="P100" s="36">
        <f t="shared" si="190"/>
        <v>0</v>
      </c>
      <c r="Q100" s="36">
        <f t="shared" si="191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2"/>
        <v>0</v>
      </c>
      <c r="F101" s="33">
        <f t="shared" si="193"/>
        <v>0</v>
      </c>
      <c r="G101" s="33">
        <f t="shared" si="188"/>
        <v>0</v>
      </c>
      <c r="H101" s="34">
        <f t="shared" si="189"/>
        <v>0</v>
      </c>
      <c r="I101" s="35">
        <f t="shared" si="194"/>
        <v>0</v>
      </c>
      <c r="J101" s="36">
        <f t="shared" si="195"/>
        <v>0</v>
      </c>
      <c r="K101" s="36">
        <f t="shared" si="196"/>
        <v>0</v>
      </c>
      <c r="L101" s="36">
        <f t="shared" si="197"/>
        <v>0</v>
      </c>
      <c r="M101" s="36">
        <f t="shared" si="198"/>
        <v>0</v>
      </c>
      <c r="N101" s="36">
        <f t="shared" si="199"/>
        <v>0</v>
      </c>
      <c r="O101" s="36">
        <f t="shared" si="200"/>
        <v>0</v>
      </c>
      <c r="P101" s="36">
        <f t="shared" si="190"/>
        <v>0</v>
      </c>
      <c r="Q101" s="36">
        <f t="shared" si="191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2"/>
        <v>0</v>
      </c>
      <c r="F102" s="33">
        <f t="shared" si="193"/>
        <v>0</v>
      </c>
      <c r="G102" s="33">
        <f t="shared" si="188"/>
        <v>0</v>
      </c>
      <c r="H102" s="34">
        <f t="shared" si="189"/>
        <v>0</v>
      </c>
      <c r="I102" s="35">
        <f t="shared" si="194"/>
        <v>0</v>
      </c>
      <c r="J102" s="36">
        <f t="shared" si="195"/>
        <v>0</v>
      </c>
      <c r="K102" s="36">
        <f t="shared" si="196"/>
        <v>0</v>
      </c>
      <c r="L102" s="36">
        <f t="shared" si="197"/>
        <v>0</v>
      </c>
      <c r="M102" s="36">
        <f t="shared" si="198"/>
        <v>0</v>
      </c>
      <c r="N102" s="36">
        <f t="shared" si="199"/>
        <v>0</v>
      </c>
      <c r="O102" s="36">
        <f t="shared" si="200"/>
        <v>0</v>
      </c>
      <c r="P102" s="36">
        <f t="shared" si="190"/>
        <v>0</v>
      </c>
      <c r="Q102" s="36">
        <f t="shared" si="191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2"/>
        <v>0</v>
      </c>
      <c r="F103" s="60">
        <f t="shared" si="193"/>
        <v>0</v>
      </c>
      <c r="G103" s="60">
        <f t="shared" si="188"/>
        <v>0</v>
      </c>
      <c r="H103" s="61">
        <f t="shared" si="189"/>
        <v>0</v>
      </c>
      <c r="I103" s="62">
        <f t="shared" si="194"/>
        <v>0</v>
      </c>
      <c r="J103" s="63">
        <f t="shared" si="195"/>
        <v>0</v>
      </c>
      <c r="K103" s="63">
        <f t="shared" si="196"/>
        <v>0</v>
      </c>
      <c r="L103" s="63">
        <f t="shared" si="197"/>
        <v>0</v>
      </c>
      <c r="M103" s="63">
        <f t="shared" si="198"/>
        <v>0</v>
      </c>
      <c r="N103" s="63">
        <f t="shared" si="199"/>
        <v>0</v>
      </c>
      <c r="O103" s="63">
        <f t="shared" si="200"/>
        <v>0</v>
      </c>
      <c r="P103" s="63">
        <f t="shared" si="190"/>
        <v>0</v>
      </c>
      <c r="Q103" s="63">
        <f t="shared" si="191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1" ref="E105:E107">0</f>
        <v>0</v>
      </c>
      <c r="F105" s="76">
        <f aca="true" t="shared" si="202" ref="F105:F107">0</f>
        <v>0</v>
      </c>
      <c r="G105" s="76">
        <f aca="true" t="shared" si="203" ref="G105:G107">0</f>
        <v>0</v>
      </c>
      <c r="H105" s="77">
        <f aca="true" t="shared" si="204" ref="H105:H107">0</f>
        <v>0</v>
      </c>
      <c r="I105" s="78">
        <f aca="true" t="shared" si="205" ref="I105:I107">0</f>
        <v>0</v>
      </c>
      <c r="J105" s="79">
        <f aca="true" t="shared" si="206" ref="J105:J107">0</f>
        <v>0</v>
      </c>
      <c r="K105" s="79">
        <f aca="true" t="shared" si="207" ref="K105:K107">0</f>
        <v>0</v>
      </c>
      <c r="L105" s="79">
        <f aca="true" t="shared" si="208" ref="L105:L107">0</f>
        <v>0</v>
      </c>
      <c r="M105" s="79">
        <f aca="true" t="shared" si="209" ref="M105:M107">0</f>
        <v>0</v>
      </c>
      <c r="N105" s="79">
        <f aca="true" t="shared" si="210" ref="N105:N107">0</f>
        <v>0</v>
      </c>
      <c r="O105" s="79">
        <f aca="true" t="shared" si="211" ref="O105:O107">0</f>
        <v>0</v>
      </c>
      <c r="P105" s="79">
        <f aca="true" t="shared" si="212" ref="P105:P107">0</f>
        <v>0</v>
      </c>
      <c r="Q105" s="79">
        <f aca="true" t="shared" si="213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1"/>
        <v>0</v>
      </c>
      <c r="F106" s="33">
        <f t="shared" si="202"/>
        <v>0</v>
      </c>
      <c r="G106" s="33">
        <f t="shared" si="203"/>
        <v>0</v>
      </c>
      <c r="H106" s="34">
        <f t="shared" si="204"/>
        <v>0</v>
      </c>
      <c r="I106" s="35">
        <f t="shared" si="205"/>
        <v>0</v>
      </c>
      <c r="J106" s="36">
        <f t="shared" si="206"/>
        <v>0</v>
      </c>
      <c r="K106" s="36">
        <f t="shared" si="207"/>
        <v>0</v>
      </c>
      <c r="L106" s="36">
        <f t="shared" si="208"/>
        <v>0</v>
      </c>
      <c r="M106" s="36">
        <f t="shared" si="209"/>
        <v>0</v>
      </c>
      <c r="N106" s="36">
        <f t="shared" si="210"/>
        <v>0</v>
      </c>
      <c r="O106" s="36">
        <f t="shared" si="211"/>
        <v>0</v>
      </c>
      <c r="P106" s="36">
        <f t="shared" si="212"/>
        <v>0</v>
      </c>
      <c r="Q106" s="36">
        <f t="shared" si="213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1"/>
        <v>0</v>
      </c>
      <c r="F107" s="60">
        <f t="shared" si="202"/>
        <v>0</v>
      </c>
      <c r="G107" s="60">
        <f t="shared" si="203"/>
        <v>0</v>
      </c>
      <c r="H107" s="61">
        <f t="shared" si="204"/>
        <v>0</v>
      </c>
      <c r="I107" s="62">
        <f t="shared" si="205"/>
        <v>0</v>
      </c>
      <c r="J107" s="63">
        <f t="shared" si="206"/>
        <v>0</v>
      </c>
      <c r="K107" s="63">
        <f t="shared" si="207"/>
        <v>0</v>
      </c>
      <c r="L107" s="63">
        <f t="shared" si="208"/>
        <v>0</v>
      </c>
      <c r="M107" s="63">
        <f t="shared" si="209"/>
        <v>0</v>
      </c>
      <c r="N107" s="63">
        <f t="shared" si="210"/>
        <v>0</v>
      </c>
      <c r="O107" s="63">
        <f t="shared" si="211"/>
        <v>0</v>
      </c>
      <c r="P107" s="63">
        <f t="shared" si="212"/>
        <v>0</v>
      </c>
      <c r="Q107" s="63">
        <f t="shared" si="213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4" ref="I140:I141">IF(I68&gt;=I69,"OK","BŁĄD")</f>
        <v>0</v>
      </c>
      <c r="J140" s="134">
        <f aca="true" t="shared" si="215" ref="J140:J141">IF(J68&gt;=J69,"OK","BŁĄD")</f>
        <v>0</v>
      </c>
      <c r="K140" s="134">
        <f aca="true" t="shared" si="216" ref="K140:K141">IF(K68&gt;=K69,"OK","BŁĄD")</f>
        <v>0</v>
      </c>
      <c r="L140" s="134">
        <f aca="true" t="shared" si="217" ref="L140:L141">IF(L68&gt;=L69,"OK","BŁĄD")</f>
        <v>0</v>
      </c>
      <c r="M140" s="134">
        <f aca="true" t="shared" si="218" ref="M140:M141">IF(M68&gt;=M69,"OK","BŁĄD")</f>
        <v>0</v>
      </c>
      <c r="N140" s="134">
        <f aca="true" t="shared" si="219" ref="N140:N141">IF(N68&gt;=N69,"OK","BŁĄD")</f>
        <v>0</v>
      </c>
      <c r="O140" s="134">
        <f aca="true" t="shared" si="220" ref="O140:O141">IF(O68&gt;=O69,"OK","BŁĄD")</f>
        <v>0</v>
      </c>
      <c r="P140" s="134">
        <f aca="true" t="shared" si="221" ref="P140:P141">IF(P68&gt;=P69,"OK","BŁĄD")</f>
        <v>0</v>
      </c>
      <c r="Q140" s="134">
        <f aca="true" t="shared" si="222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4"/>
        <v>0</v>
      </c>
      <c r="J141" s="134">
        <f t="shared" si="215"/>
        <v>0</v>
      </c>
      <c r="K141" s="134">
        <f t="shared" si="216"/>
        <v>0</v>
      </c>
      <c r="L141" s="134">
        <f t="shared" si="217"/>
        <v>0</v>
      </c>
      <c r="M141" s="134">
        <f t="shared" si="218"/>
        <v>0</v>
      </c>
      <c r="N141" s="134">
        <f t="shared" si="219"/>
        <v>0</v>
      </c>
      <c r="O141" s="134">
        <f t="shared" si="220"/>
        <v>0</v>
      </c>
      <c r="P141" s="134">
        <f t="shared" si="221"/>
        <v>0</v>
      </c>
      <c r="Q141" s="134">
        <f t="shared" si="222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3" ref="I142:I143">IF(I71&gt;=I72,"OK","BŁĄD")</f>
        <v>0</v>
      </c>
      <c r="J142" s="134">
        <f aca="true" t="shared" si="224" ref="J142:J143">IF(J71&gt;=J72,"OK","BŁĄD")</f>
        <v>0</v>
      </c>
      <c r="K142" s="134">
        <f aca="true" t="shared" si="225" ref="K142:K143">IF(K71&gt;=K72,"OK","BŁĄD")</f>
        <v>0</v>
      </c>
      <c r="L142" s="134">
        <f aca="true" t="shared" si="226" ref="L142:L143">IF(L71&gt;=L72,"OK","BŁĄD")</f>
        <v>0</v>
      </c>
      <c r="M142" s="134">
        <f aca="true" t="shared" si="227" ref="M142:M143">IF(M71&gt;=M72,"OK","BŁĄD")</f>
        <v>0</v>
      </c>
      <c r="N142" s="134">
        <f aca="true" t="shared" si="228" ref="N142:N143">IF(N71&gt;=N72,"OK","BŁĄD")</f>
        <v>0</v>
      </c>
      <c r="O142" s="134">
        <f aca="true" t="shared" si="229" ref="O142:O143">IF(O71&gt;=O72,"OK","BŁĄD")</f>
        <v>0</v>
      </c>
      <c r="P142" s="134">
        <f aca="true" t="shared" si="230" ref="P142:P143">IF(P71&gt;=P72,"OK","BŁĄD")</f>
        <v>0</v>
      </c>
      <c r="Q142" s="134">
        <f aca="true" t="shared" si="231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3"/>
        <v>0</v>
      </c>
      <c r="J143" s="134">
        <f t="shared" si="224"/>
        <v>0</v>
      </c>
      <c r="K143" s="134">
        <f t="shared" si="225"/>
        <v>0</v>
      </c>
      <c r="L143" s="134">
        <f t="shared" si="226"/>
        <v>0</v>
      </c>
      <c r="M143" s="134">
        <f t="shared" si="227"/>
        <v>0</v>
      </c>
      <c r="N143" s="134">
        <f t="shared" si="228"/>
        <v>0</v>
      </c>
      <c r="O143" s="134">
        <f t="shared" si="229"/>
        <v>0</v>
      </c>
      <c r="P143" s="134">
        <f t="shared" si="230"/>
        <v>0</v>
      </c>
      <c r="Q143" s="134">
        <f t="shared" si="231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2" ref="J158:J159">IF(J19&gt;=J20,"OK","BŁĄD")</f>
        <v>0</v>
      </c>
      <c r="K158" s="134">
        <f aca="true" t="shared" si="233" ref="K158:K159">IF(K19&gt;=K20,"OK","BŁĄD")</f>
        <v>0</v>
      </c>
      <c r="L158" s="134">
        <f aca="true" t="shared" si="234" ref="L158:L159">IF(L19&gt;=L20,"OK","BŁĄD")</f>
        <v>0</v>
      </c>
      <c r="M158" s="134">
        <f aca="true" t="shared" si="235" ref="M158:M159">IF(M19&gt;=M20,"OK","BŁĄD")</f>
        <v>0</v>
      </c>
      <c r="N158" s="134">
        <f aca="true" t="shared" si="236" ref="N158:N159">IF(N19&gt;=N20,"OK","BŁĄD")</f>
        <v>0</v>
      </c>
      <c r="O158" s="134">
        <f aca="true" t="shared" si="237" ref="O158:O159">IF(O19&gt;=O20,"OK","BŁĄD")</f>
        <v>0</v>
      </c>
      <c r="P158" s="134">
        <f aca="true" t="shared" si="238" ref="P158:P159">IF(P19&gt;=P20,"OK","BŁĄD")</f>
        <v>0</v>
      </c>
      <c r="Q158" s="134">
        <f aca="true" t="shared" si="239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2"/>
        <v>0</v>
      </c>
      <c r="K159" s="134">
        <f t="shared" si="233"/>
        <v>0</v>
      </c>
      <c r="L159" s="134">
        <f t="shared" si="234"/>
        <v>0</v>
      </c>
      <c r="M159" s="134">
        <f t="shared" si="235"/>
        <v>0</v>
      </c>
      <c r="N159" s="134">
        <f t="shared" si="236"/>
        <v>0</v>
      </c>
      <c r="O159" s="134">
        <f t="shared" si="237"/>
        <v>0</v>
      </c>
      <c r="P159" s="134">
        <f t="shared" si="238"/>
        <v>0</v>
      </c>
      <c r="Q159" s="134">
        <f t="shared" si="239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47876316.36</v>
      </c>
      <c r="I182" s="161">
        <f>I4+I11</f>
        <v>58624216.22</v>
      </c>
      <c r="J182" s="162">
        <f>J4+J11</f>
        <v>53968000</v>
      </c>
      <c r="K182" s="162">
        <f>K4+K11</f>
        <v>49178762.71</v>
      </c>
      <c r="L182" s="162">
        <f>L4+L11</f>
        <v>48100000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47344696.68</v>
      </c>
      <c r="I183" s="167">
        <f>I15+I23</f>
        <v>59943718.84</v>
      </c>
      <c r="J183" s="168">
        <f>J15+J23</f>
        <v>52107996</v>
      </c>
      <c r="K183" s="168">
        <f>K15+K23</f>
        <v>46968758.71</v>
      </c>
      <c r="L183" s="168">
        <f>L15+L23</f>
        <v>45889996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53100000</v>
      </c>
      <c r="Q183" s="168">
        <f>Q15+Q23</f>
        <v>55068066.269999996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531619.6799999997</v>
      </c>
      <c r="I184" s="167">
        <f>I3-I14</f>
        <v>-1319502.6200000048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1000000</v>
      </c>
      <c r="Q184" s="168">
        <f>Q3-Q14</f>
        <v>531933.7299999967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13876220</v>
      </c>
      <c r="I185" s="167">
        <f>H41+I30-I35+(I98-H98)+I103</f>
        <v>13729949.73</v>
      </c>
      <c r="J185" s="168">
        <f>I41+J30-J35+(J98-I98)+J103</f>
        <v>11869945.73</v>
      </c>
      <c r="K185" s="168">
        <f>J41+K30-K35+(K98-J98)+K103</f>
        <v>9659941.73</v>
      </c>
      <c r="L185" s="168">
        <f>K41+L30-L35+(L98-K98)+L103</f>
        <v>7449937.73</v>
      </c>
      <c r="M185" s="168">
        <f>L41+M30-M35+(M98-L98)+M103</f>
        <v>5199933.73</v>
      </c>
      <c r="N185" s="168">
        <f>M41+N30-N35+(N98-M98)+N103</f>
        <v>2781933.7300000004</v>
      </c>
      <c r="O185" s="168">
        <f>N41+O30-O35+(O98-N98)+O103</f>
        <v>1531933.73</v>
      </c>
      <c r="P185" s="168">
        <f>O41+P30-P35+(P98-O98)+P103</f>
        <v>531933.73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0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0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0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0.025299999999999996</v>
      </c>
      <c r="J193" s="195">
        <f>+IF(J3=0,"",J52-J47)</f>
        <v>0.021000000000000005</v>
      </c>
      <c r="K193" s="195">
        <f>+IF(K3=0,"",K52-K47)</f>
        <v>0.0376</v>
      </c>
      <c r="L193" s="195">
        <f>+IF(L3=0,"",L52-L47)</f>
        <v>0.05620000000000001</v>
      </c>
      <c r="M193" s="195">
        <f>+IF(M3=0,"",M52-M47)</f>
        <v>0.0695</v>
      </c>
      <c r="N193" s="195">
        <f>+IF(N3=0,"",N52-N47)</f>
        <v>0.0602</v>
      </c>
      <c r="O193" s="195">
        <f>+IF(O3=0,"",O52-O47)</f>
        <v>0.10310000000000001</v>
      </c>
      <c r="P193" s="195">
        <f>+IF(P3=0,"",P52-P47)</f>
        <v>0.1251</v>
      </c>
      <c r="Q193" s="195">
        <f>+IF(Q3=0,"",Q52-Q47)</f>
        <v>0.1497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0.025299999999999996</v>
      </c>
      <c r="J194" s="201">
        <f>+IF(J3=0,"",J52-J48)</f>
        <v>0.021000000000000005</v>
      </c>
      <c r="K194" s="201">
        <f>+IF(K3=0,"",K52-K48)</f>
        <v>0.0376</v>
      </c>
      <c r="L194" s="201">
        <f>+IF(L3=0,"",L52-L48)</f>
        <v>0.05620000000000001</v>
      </c>
      <c r="M194" s="201">
        <f>+IF(M3=0,"",M52-M48)</f>
        <v>0.0695</v>
      </c>
      <c r="N194" s="201">
        <f>+IF(N3=0,"",N52-N48)</f>
        <v>0.0602</v>
      </c>
      <c r="O194" s="201">
        <f>+IF(O3=0,"",O52-O48)</f>
        <v>0.10310000000000001</v>
      </c>
      <c r="P194" s="201">
        <f>+IF(P3=0,"",P52-P48)</f>
        <v>0.1251</v>
      </c>
      <c r="Q194" s="201">
        <f>+IF(Q3=0,"",Q52-Q48)</f>
        <v>0.1497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0.0371</v>
      </c>
      <c r="J195" s="195">
        <f>+IF(J3=0,"",J53-J47)</f>
        <v>0.03270000000000001</v>
      </c>
      <c r="K195" s="195">
        <f>+IF(K3=0,"",K53-K47)</f>
        <v>0.049300000000000004</v>
      </c>
      <c r="L195" s="195">
        <f>+IF(L3=0,"",L53-L47)</f>
        <v>0.05620000000000001</v>
      </c>
      <c r="M195" s="195">
        <f>+IF(M3=0,"",M53-M47)</f>
        <v>0.0695</v>
      </c>
      <c r="N195" s="195">
        <f>+IF(N3=0,"",N53-N47)</f>
        <v>0.0602</v>
      </c>
      <c r="O195" s="195">
        <f>+IF(O3=0,"",O53-O47)</f>
        <v>0.10310000000000001</v>
      </c>
      <c r="P195" s="195">
        <f>+IF(P3=0,"",P53-P47)</f>
        <v>0.1251</v>
      </c>
      <c r="Q195" s="195">
        <f>+IF(Q3=0,"",Q53-Q47)</f>
        <v>0.1497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0.0371</v>
      </c>
      <c r="J196" s="201">
        <f>+IF(J3=0,"",J53-J48)</f>
        <v>0.03270000000000001</v>
      </c>
      <c r="K196" s="201">
        <f>+IF(K3=0,"",K53-K48)</f>
        <v>0.049300000000000004</v>
      </c>
      <c r="L196" s="201">
        <f>+IF(L3=0,"",L53-L48)</f>
        <v>0.05620000000000001</v>
      </c>
      <c r="M196" s="201">
        <f>+IF(M3=0,"",M53-M48)</f>
        <v>0.0695</v>
      </c>
      <c r="N196" s="201">
        <f>+IF(N3=0,"",N53-N48)</f>
        <v>0.0602</v>
      </c>
      <c r="O196" s="201">
        <f>+IF(O3=0,"",O53-O48)</f>
        <v>0.10310000000000001</v>
      </c>
      <c r="P196" s="201">
        <f>+IF(P3=0,"",P53-P48)</f>
        <v>0.1251</v>
      </c>
      <c r="Q196" s="201">
        <f>+IF(Q3=0,"",Q53-Q48)</f>
        <v>0.1497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47876316.36</v>
      </c>
      <c r="I10" s="235">
        <f>+I11+I18</f>
        <v>58624216.22</v>
      </c>
      <c r="J10" s="236">
        <f>+J11+J18</f>
        <v>53968000</v>
      </c>
      <c r="K10" s="236">
        <f>+K11+K18</f>
        <v>49178762.71</v>
      </c>
      <c r="L10" s="236">
        <f>+L11+L18</f>
        <v>48100000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44072600.39</v>
      </c>
      <c r="I11" s="241">
        <f>+'Zał.1_WPF_bazowy'!I4</f>
        <v>45511699.06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9828972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12400000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175165.42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8153528.89</v>
      </c>
      <c r="I14" s="241">
        <f>+'Zał.1_WPF_bazowy'!I7</f>
        <v>8318275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4888820.84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8757490</v>
      </c>
      <c r="I16" s="241">
        <f>+'Zał.1_WPF_bazowy'!I9</f>
        <v>9564590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14679288.34</v>
      </c>
      <c r="I17" s="241">
        <f>+'Zał.1_WPF_bazowy'!I10</f>
        <v>14385163.06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3803715.97</v>
      </c>
      <c r="I18" s="241">
        <f>+'Zał.1_WPF_bazowy'!I11</f>
        <v>13112517.16</v>
      </c>
      <c r="J18" s="242">
        <f>+'Zał.1_WPF_bazowy'!J11</f>
        <v>8868000</v>
      </c>
      <c r="K18" s="242">
        <f>+'Zał.1_WPF_bazowy'!K11</f>
        <v>2578762.71</v>
      </c>
      <c r="L18" s="242">
        <f>+'Zał.1_WPF_bazowy'!L11</f>
        <v>0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195312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3604491.89</v>
      </c>
      <c r="I20" s="241">
        <f>+'Zał.1_WPF_bazowy'!I13</f>
        <v>11447517.16</v>
      </c>
      <c r="J20" s="242">
        <f>+'Zał.1_WPF_bazowy'!J13</f>
        <v>3918000</v>
      </c>
      <c r="K20" s="242">
        <f>+'Zał.1_WPF_bazowy'!K13</f>
        <v>2578762.71</v>
      </c>
      <c r="L20" s="242">
        <f>+'Zał.1_WPF_bazowy'!L13</f>
        <v>0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47344696.68</v>
      </c>
      <c r="I21" s="235">
        <f>+I22+I30</f>
        <v>59943718.84</v>
      </c>
      <c r="J21" s="236">
        <f>+J22+J30</f>
        <v>52107996</v>
      </c>
      <c r="K21" s="236">
        <f>+K22+K30</f>
        <v>46968758.71</v>
      </c>
      <c r="L21" s="236">
        <f>+L22+L30</f>
        <v>45889996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53100000</v>
      </c>
      <c r="Q21" s="236">
        <f>+Q22+Q30</f>
        <v>55068066.269999996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40829071.71</v>
      </c>
      <c r="I22" s="241">
        <f>+'Zał.1_WPF_bazowy'!I15</f>
        <v>42400802.54</v>
      </c>
      <c r="J22" s="242">
        <f>+'Zał.1_WPF_bazowy'!J15</f>
        <v>41500000</v>
      </c>
      <c r="K22" s="242">
        <f>+'Zał.1_WPF_bazowy'!K15</f>
        <v>42000000</v>
      </c>
      <c r="L22" s="242">
        <f>+'Zał.1_WPF_bazowy'!L15</f>
        <v>42500000</v>
      </c>
      <c r="M22" s="242">
        <f>+'Zał.1_WPF_bazowy'!M15</f>
        <v>43000000</v>
      </c>
      <c r="N22" s="242">
        <f>+'Zał.1_WPF_bazowy'!N15</f>
        <v>43500000</v>
      </c>
      <c r="O22" s="242">
        <f>+'Zał.1_WPF_bazowy'!O15</f>
        <v>44000000</v>
      </c>
      <c r="P22" s="242">
        <f>+'Zał.1_WPF_bazowy'!P15</f>
        <v>44500000</v>
      </c>
      <c r="Q22" s="242">
        <f>+'Zał.1_WPF_bazowy'!Q15</f>
        <v>45000000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0</v>
      </c>
      <c r="I23" s="241">
        <f>+'Zał.1_WPF_bazowy'!I16</f>
        <v>39000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397324.74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397324.74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6515624.97</v>
      </c>
      <c r="I30" s="241">
        <f>+'Zał.1_WPF_bazowy'!I23</f>
        <v>17542916.3</v>
      </c>
      <c r="J30" s="242">
        <f>+'Zał.1_WPF_bazowy'!J23</f>
        <v>10607996</v>
      </c>
      <c r="K30" s="242">
        <f>+'Zał.1_WPF_bazowy'!K23</f>
        <v>4968758.71</v>
      </c>
      <c r="L30" s="242">
        <f>+'Zał.1_WPF_bazowy'!L23</f>
        <v>3389996</v>
      </c>
      <c r="M30" s="242">
        <f>+'Zał.1_WPF_bazowy'!M23</f>
        <v>4349996</v>
      </c>
      <c r="N30" s="242">
        <f>+'Zał.1_WPF_bazowy'!N23</f>
        <v>5182000</v>
      </c>
      <c r="O30" s="242">
        <f>+'Zał.1_WPF_bazowy'!O23</f>
        <v>7350000</v>
      </c>
      <c r="P30" s="242">
        <f>+'Zał.1_WPF_bazowy'!P23</f>
        <v>8600000</v>
      </c>
      <c r="Q30" s="242">
        <f>+'Zał.1_WPF_bazowy'!Q23</f>
        <v>10068066.27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531619.6799999997</v>
      </c>
      <c r="I31" s="235">
        <f>+I10-I21</f>
        <v>-1319502.6200000048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1000000</v>
      </c>
      <c r="Q31" s="236">
        <f>+Q10-Q21</f>
        <v>531933.7300000042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2412357.21</v>
      </c>
      <c r="I32" s="235">
        <f>+I33+I35+I37+I39</f>
        <v>2997706.62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1465772.89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0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0</v>
      </c>
      <c r="I37" s="241">
        <f>+'Zał.1_WPF_bazowy'!I30</f>
        <v>1531933.73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0</v>
      </c>
      <c r="I38" s="241">
        <f>+'Zał.1_WPF_bazowy'!I31</f>
        <v>1319502.62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1000000</v>
      </c>
      <c r="Q41" s="236">
        <f>+Q42+Q47</f>
        <v>531933.73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1000000</v>
      </c>
      <c r="Q42" s="242">
        <f>+'Zał.1_WPF_bazowy'!Q35</f>
        <v>531933.73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13876220</v>
      </c>
      <c r="I48" s="250">
        <f>+IF(I10&lt;&gt;0,H48+I37-I42+(I105-H105)+I110,0)</f>
        <v>13729949.73</v>
      </c>
      <c r="J48" s="251">
        <f>+IF(J10&lt;&gt;0,I48+J37-J42+(J105-I105)+J110,0)</f>
        <v>11869945.73</v>
      </c>
      <c r="K48" s="251">
        <f>+IF(K10&lt;&gt;0,J48+K37-K42+(K105-J105)+K110,0)</f>
        <v>9659941.73</v>
      </c>
      <c r="L48" s="251">
        <f>+IF(L10&lt;&gt;0,K48+L37-L42+(L105-K105)+L110,0)</f>
        <v>7449937.73</v>
      </c>
      <c r="M48" s="251">
        <f>+IF(M10&lt;&gt;0,L48+M37-M42+(M105-L105)+M110,0)</f>
        <v>5199933.73</v>
      </c>
      <c r="N48" s="251">
        <f>+IF(N10&lt;&gt;0,M48+N37-N42+(N105-M105)+N110,0)</f>
        <v>2781933.7300000004</v>
      </c>
      <c r="O48" s="251">
        <f>+IF(O10&lt;&gt;0,N48+O37-O42+(O105-N105)+O110,0)</f>
        <v>1531933.7300000004</v>
      </c>
      <c r="P48" s="251">
        <f>+IF(P10&lt;&gt;0,O48+P37-P42+(P105-O105)+P110,0)</f>
        <v>531933.7300000004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3243528.6799999997</v>
      </c>
      <c r="I51" s="247">
        <f>+I11-I22</f>
        <v>3110896.5200000033</v>
      </c>
      <c r="J51" s="248">
        <f>+J11-J22</f>
        <v>3600000</v>
      </c>
      <c r="K51" s="248">
        <f>+K11-K22</f>
        <v>4600000</v>
      </c>
      <c r="L51" s="248">
        <f>+L11-L22</f>
        <v>5600000</v>
      </c>
      <c r="M51" s="248">
        <f>+M11-M22</f>
        <v>6600000</v>
      </c>
      <c r="N51" s="248">
        <f>+N11-N22</f>
        <v>7600000</v>
      </c>
      <c r="O51" s="248">
        <f>+O11-O22</f>
        <v>8600000</v>
      </c>
      <c r="P51" s="248">
        <f>+P11-P22</f>
        <v>9600000</v>
      </c>
      <c r="Q51" s="248">
        <f>+Q11-Q22</f>
        <v>10600000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5655885.890000001</v>
      </c>
      <c r="I52" s="247">
        <f>+IF(AND(I9&gt;=2013,I9&lt;=2015),+I11+I33+I35-(I22-I25),+I11+I33+I35-I22)</f>
        <v>4576669.410000004</v>
      </c>
      <c r="J52" s="248">
        <f>+IF(AND(J9&gt;=2013,J9&lt;=2015),+J11+J33+J35-(J22-J25),+J11+J33+J35-J22)</f>
        <v>3600000</v>
      </c>
      <c r="K52" s="248">
        <f>+IF(AND(K9&gt;=2013,K9&lt;=2015),+K11+K33+K35-(K22-K25),+K11+K33+K35-K22)</f>
        <v>4600000</v>
      </c>
      <c r="L52" s="248">
        <f>+IF(AND(L9&gt;=2013,L9&lt;=2015),+L11+L33+L35-(L22-L25),+L11+L33+L35-L22)</f>
        <v>5600000</v>
      </c>
      <c r="M52" s="248">
        <f>+IF(AND(M9&gt;=2013,M9&lt;=2015),+M11+M33+M35-(M22-M25),+M11+M33+M35-M22)</f>
        <v>6600000</v>
      </c>
      <c r="N52" s="248">
        <f>+IF(AND(N9&gt;=2013,N9&lt;=2015),+N11+N33+N35-(N22-N25),+N11+N33+N35-N22)</f>
        <v>7600000</v>
      </c>
      <c r="O52" s="248">
        <f>+IF(AND(O9&gt;=2013,O9&lt;=2015),+O11+O33+O35-(O22-O25),+O11+O33+O35-O22)</f>
        <v>8600000</v>
      </c>
      <c r="P52" s="248">
        <f>+IF(AND(P9&gt;=2013,P9&lt;=2015),+P11+P33+P35-(P22-P25),+P11+P33+P35-P22)</f>
        <v>9600000</v>
      </c>
      <c r="Q52" s="248">
        <f>+IF(AND(Q9&gt;=2013,Q9&lt;=2015),+Q11+Q33+Q35-(Q22-Q25),+Q11+Q33+Q35-Q22)</f>
        <v>10600000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0.0392</v>
      </c>
      <c r="I54" s="265">
        <f>+IF(I10&lt;&gt;0,ROUND((I23+I27+I42)/I10,$K$7+2),"-")</f>
        <v>0.0366</v>
      </c>
      <c r="J54" s="266">
        <f>+IF(J10&lt;&gt;0,ROUND((J23+J27+J42)/J10,$K$7+2),"-")</f>
        <v>0.044</v>
      </c>
      <c r="K54" s="266">
        <f>+IF(K10&lt;&gt;0,ROUND((K23+K27+K42)/K10,$K$7+2),"-")</f>
        <v>0.0545</v>
      </c>
      <c r="L54" s="266">
        <f>+IF(L10&lt;&gt;0,ROUND((L23+L27+L42)/L10,$K$7+2),"-")</f>
        <v>0.0549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0.0233</v>
      </c>
      <c r="Q54" s="266">
        <f>+IF(Q10&lt;&gt;0,ROUND((Q23+Q27+Q42)/Q10,$K$7+2),"-")</f>
        <v>0.0135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0.0392</v>
      </c>
      <c r="I55" s="265">
        <f>+IF(I10&lt;&gt;0,ROUND((I23-I24+I27-I28-I29+I42-I43)/(I10-I113),$K$7+2),"-")</f>
        <v>0.0366</v>
      </c>
      <c r="J55" s="266">
        <f>+IF(J10&lt;&gt;0,ROUND((J23-J24+J27-J28-J29+J42-J43)/(J10-J113),$K$7+2),"-")</f>
        <v>0.044</v>
      </c>
      <c r="K55" s="266">
        <f>+IF(K10&lt;&gt;0,ROUND((K23-K24+K27-K28-K29+K42-K43)/(K10-K113),$K$7+2),"-")</f>
        <v>0.0545</v>
      </c>
      <c r="L55" s="266">
        <f>+IF(L10&lt;&gt;0,ROUND((L23-L24+L27-L28-L29+L42-L43)/(L10-L113),$K$7+2),"-")</f>
        <v>0.0549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0.0233</v>
      </c>
      <c r="Q55" s="266">
        <f>+IF(Q10&lt;&gt;0,ROUND((Q23-Q24+Q27-Q28-Q29+Q42-Q43)/(Q10-Q113),$K$7+2),"-")</f>
        <v>0.0135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0.0392</v>
      </c>
      <c r="I57" s="265">
        <f>+IF(I10&lt;&gt;0,ROUND((I23-I24+I27-I28-I29+I42-I43+I56)/(I10-I113),$K$7+2),"-")</f>
        <v>0.0366</v>
      </c>
      <c r="J57" s="266">
        <f>+IF(J10&lt;&gt;0,ROUND((J23-J24+J27-J28-J29+J42-J43+J56)/(J10-J113),$K$7+2),"-")</f>
        <v>0.044</v>
      </c>
      <c r="K57" s="266">
        <f>+IF(K10&lt;&gt;0,ROUND((K23-K24+K27-K28-K29+K42-K43+K56)/(K10-K113),$K$7+2),"-")</f>
        <v>0.0545</v>
      </c>
      <c r="L57" s="266">
        <f>+IF(L10&lt;&gt;0,ROUND((L23-L24+L27-L28-L29+L42-L43+L56)/(L10-L113),$K$7+2),"-")</f>
        <v>0.0549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0.0233</v>
      </c>
      <c r="Q57" s="266">
        <f>+IF(Q10&lt;&gt;0,ROUND((Q23-Q24+Q27-Q28-Q29+Q42-Q43+Q56)/(Q10-Q113),$K$7+2),"-")</f>
        <v>0.0135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0.0718</v>
      </c>
      <c r="I58" s="265">
        <f>+ROUND(IF(AND(I9&gt;=2013,I9&lt;=2018),IF(I10&lt;&gt;0,(I11-I113+I19-I22+I25+I114)/(I10-I113),0),IF(I10&lt;&gt;0,(I11-I113+I19-I22+I114)/(I10-I113),0)),$K$7+2)</f>
        <v>0.0813</v>
      </c>
      <c r="J58" s="266">
        <f>+ROUND(IF(AND(J9&gt;=2013,J9&lt;=2018),IF(J10&lt;&gt;0,(J11-J113+J19-J22+J25+J114)/(J10-J113),0),IF(J10&lt;&gt;0,(J11-J113+J19-J22+J114)/(J10-J113),0)),$K$7+2)</f>
        <v>0.1584</v>
      </c>
      <c r="K58" s="266">
        <f>+ROUND(IF(AND(K9&gt;=2013,K9&lt;=2018),IF(K10&lt;&gt;0,(K11-K113+K19-K22+K25+K114)/(K10-K113),0),IF(K10&lt;&gt;0,(K11-K113+K19-K22+K114)/(K10-K113),0)),$K$7+2)</f>
        <v>0.0935</v>
      </c>
      <c r="L58" s="266">
        <f>+ROUND(IF(AND(L9&gt;=2013,L9&lt;=2018),IF(L10&lt;&gt;0,(L11-L113+L19-L22+L25+L114)/(L10-L113),0),IF(L10&lt;&gt;0,(L11-L113+L19-L22+L114)/(L10-L113),0)),$K$7+2)</f>
        <v>0.1164</v>
      </c>
      <c r="M58" s="266">
        <f>+ROUND(IF(AND(M9&gt;=2013,M9&lt;=2018),IF(M10&lt;&gt;0,(M11-M113+M19-M22+M25+M114)/(M10-M113),0),IF(M10&lt;&gt;0,(M11-M113+M19-M22+M114)/(M10-M113),0)),$K$7+2)</f>
        <v>0.1331</v>
      </c>
      <c r="N58" s="266">
        <f>+ROUND(IF(AND(N9&gt;=2013,N9&lt;=2018),IF(N10&lt;&gt;0,(N11-N113+N19-N22+N25+N114)/(N10-N113),0),IF(N10&lt;&gt;0,(N11-N113+N19-N22+N114)/(N10-N113),0)),$K$7+2)</f>
        <v>0.1487</v>
      </c>
      <c r="O58" s="266">
        <f>+ROUND(IF(AND(O9&gt;=2013,O9&lt;=2018),IF(O10&lt;&gt;0,(O11-O113+O19-O22+O25+O114)/(O10-O113),0),IF(O10&lt;&gt;0,(O11-O113+O19-O22+O114)/(O10-O113),0)),$K$7+2)</f>
        <v>0.1635</v>
      </c>
      <c r="P58" s="266">
        <f>+ROUND(IF(AND(P9&gt;=2013,P9&lt;=2018),IF(P10&lt;&gt;0,(P11-P113+P19-P22+P25+P114)/(P10-P113),0),IF(P10&lt;&gt;0,(P11-P113+P19-P22+P114)/(P10-P113),0)),$K$7+2)</f>
        <v>0.1774</v>
      </c>
      <c r="Q58" s="266">
        <f>+ROUND(IF(AND(Q9&gt;=2013,Q9&lt;=2018),IF(Q10&lt;&gt;0,(Q11-Q113+Q19-Q22+Q25+Q114)/(Q10-Q113),0),IF(Q10&lt;&gt;0,(Q11-Q113+Q19-Q22+Q114)/(Q10-Q113),0)),$K$7+2)</f>
        <v>0.1906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0.06496666666666666</v>
      </c>
      <c r="K59" s="266">
        <f>+IF(K10&lt;&gt;0,(J58+I58+G58)/3,"-")</f>
        <v>0.09206666666666667</v>
      </c>
      <c r="L59" s="266">
        <f>+IF(L10&lt;&gt;0,(K58+J58+I58)/3,"-")</f>
        <v>0.11106666666666666</v>
      </c>
      <c r="M59" s="266">
        <f>+IF(M10&lt;&gt;0,(L58+K58+J58)/3,"-")</f>
        <v>0.12276666666666668</v>
      </c>
      <c r="N59" s="266">
        <f>+IF(N10&lt;&gt;0,(M58+L58+K58)/3,"-")</f>
        <v>0.11433333333333333</v>
      </c>
      <c r="O59" s="266">
        <f>+IF(O10&lt;&gt;0,(N58+M58+L58)/3,"-")</f>
        <v>0.13273333333333334</v>
      </c>
      <c r="P59" s="266">
        <f>+IF(P10&lt;&gt;0,(O58+N58+M58)/3,"-")</f>
        <v>0.14843333333333333</v>
      </c>
      <c r="Q59" s="266">
        <f>+IF(Q10&lt;&gt;0,(P58+O58+N58)/3,"-")</f>
        <v>0.16319999999999998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0.0737</v>
      </c>
      <c r="J60" s="266">
        <f>+IF(J10&lt;&gt;0,ROUND((I58+H58+F58)/3,$K$7+2),"-")</f>
        <v>0.0767</v>
      </c>
      <c r="K60" s="266">
        <f>+IF(K10&lt;&gt;0,ROUND((J58+I58+H58)/3,$K$7+2),"-")</f>
        <v>0.1038</v>
      </c>
      <c r="L60" s="266">
        <f>+IF(L10&lt;&gt;0,ROUND((K58+J58+I58)/3,$K$7+2),"-")</f>
        <v>0.1111</v>
      </c>
      <c r="M60" s="266">
        <f>+IF(M10&lt;&gt;0,ROUND((L58+K58+J58)/3,$K$7+2),"-")</f>
        <v>0.1228</v>
      </c>
      <c r="N60" s="266">
        <f>+IF(N10&lt;&gt;0,ROUND((M58+L58+K58)/3,$K$7+2),"-")</f>
        <v>0.1143</v>
      </c>
      <c r="O60" s="266">
        <f>+IF(O10&lt;&gt;0,ROUND((N58+M58+L58)/3,$K$7+2),"-")</f>
        <v>0.1327</v>
      </c>
      <c r="P60" s="266">
        <f>+IF(P10&lt;&gt;0,ROUND((O58+N58+M58)/3,$K$7+2),"-")</f>
        <v>0.1484</v>
      </c>
      <c r="Q60" s="266">
        <f>+IF(Q10&lt;&gt;0,ROUND((P58+O58+N58)/3,$K$7+2),"-")</f>
        <v>0.1632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1000000</v>
      </c>
      <c r="Q63" s="254">
        <f>+'Zał.1_WPF_bazowy'!Q56</f>
        <v>531933.73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1000000</v>
      </c>
      <c r="Q64" s="242">
        <f>+'Zał.1_WPF_bazowy'!Q57</f>
        <v>531933.73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15107651.05</v>
      </c>
      <c r="I66" s="241">
        <f>+'Zał.1_WPF_bazowy'!I59</f>
        <v>16546962.1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3429739.81</v>
      </c>
      <c r="I67" s="241">
        <f>+'Zał.1_WPF_bazowy'!I60</f>
        <v>3731576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152050.07</v>
      </c>
      <c r="I68" s="247">
        <f>+I69+I70</f>
        <v>283317.33</v>
      </c>
      <c r="J68" s="248">
        <f>+J69+J70</f>
        <v>10263715.65</v>
      </c>
      <c r="K68" s="248">
        <f>+K69+K70</f>
        <v>4967219.51</v>
      </c>
      <c r="L68" s="248">
        <f>+L69+L70</f>
        <v>0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61559.18</v>
      </c>
      <c r="I69" s="241">
        <f>+'Zał.1_WPF_bazowy'!I62</f>
        <v>122546.33</v>
      </c>
      <c r="J69" s="242">
        <f>+'Zał.1_WPF_bazowy'!J62</f>
        <v>176083.64</v>
      </c>
      <c r="K69" s="242">
        <f>+'Zał.1_WPF_bazowy'!K62</f>
        <v>24300</v>
      </c>
      <c r="L69" s="242">
        <f>+'Zał.1_WPF_bazowy'!L62</f>
        <v>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90490.89</v>
      </c>
      <c r="I70" s="241">
        <f>+'Zał.1_WPF_bazowy'!I63</f>
        <v>160771</v>
      </c>
      <c r="J70" s="242">
        <f>+'Zał.1_WPF_bazowy'!J63</f>
        <v>10087632.01</v>
      </c>
      <c r="K70" s="242">
        <f>+'Zał.1_WPF_bazowy'!K63</f>
        <v>4942919.51</v>
      </c>
      <c r="L70" s="242">
        <f>+'Zał.1_WPF_bazowy'!L63</f>
        <v>0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4101913.67</v>
      </c>
      <c r="I71" s="241">
        <f>+'Zał.1_WPF_bazowy'!I64</f>
        <v>4289870.71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1690506.5</v>
      </c>
      <c r="I72" s="241">
        <f>+'Zał.1_WPF_bazowy'!I65</f>
        <v>11769333.95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423204.8</v>
      </c>
      <c r="I73" s="241">
        <f>+'Zał.1_WPF_bazowy'!I66</f>
        <v>1183711.64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11309.05</v>
      </c>
      <c r="I75" s="241">
        <f>+'Zał.1_WPF_bazowy'!I68</f>
        <v>91600.46</v>
      </c>
      <c r="J75" s="242">
        <f>+'Zał.1_WPF_bazowy'!J68</f>
        <v>51843.64</v>
      </c>
      <c r="K75" s="242">
        <f>+'Zał.1_WPF_bazowy'!K68</f>
        <v>14960</v>
      </c>
      <c r="L75" s="242">
        <f>+'Zał.1_WPF_bazowy'!L68</f>
        <v>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11309.05</v>
      </c>
      <c r="I76" s="241">
        <f>+'Zał.1_WPF_bazowy'!I69</f>
        <v>91600.46</v>
      </c>
      <c r="J76" s="242">
        <f>+'Zał.1_WPF_bazowy'!J69</f>
        <v>51843.64</v>
      </c>
      <c r="K76" s="242">
        <f>+'Zał.1_WPF_bazowy'!K69</f>
        <v>14960</v>
      </c>
      <c r="L76" s="242">
        <f>+'Zał.1_WPF_bazowy'!L69</f>
        <v>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11309.05</v>
      </c>
      <c r="I77" s="241">
        <f>+'Zał.1_WPF_bazowy'!I70</f>
        <v>91600.46</v>
      </c>
      <c r="J77" s="242">
        <f>+'Zał.1_WPF_bazowy'!J70</f>
        <v>51843.64</v>
      </c>
      <c r="K77" s="242">
        <f>+'Zał.1_WPF_bazowy'!K70</f>
        <v>14960</v>
      </c>
      <c r="L77" s="242">
        <f>+'Zał.1_WPF_bazowy'!L70</f>
        <v>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588143.98</v>
      </c>
      <c r="I78" s="241">
        <f>+'Zał.1_WPF_bazowy'!I71</f>
        <v>3201404.52</v>
      </c>
      <c r="J78" s="242">
        <f>+'Zał.1_WPF_bazowy'!J71</f>
        <v>2968000</v>
      </c>
      <c r="K78" s="242">
        <f>+'Zał.1_WPF_bazowy'!K71</f>
        <v>1801250.1</v>
      </c>
      <c r="L78" s="242">
        <f>+'Zał.1_WPF_bazowy'!L71</f>
        <v>0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588143.98</v>
      </c>
      <c r="I79" s="241">
        <f>+'Zał.1_WPF_bazowy'!I72</f>
        <v>3201404.52</v>
      </c>
      <c r="J79" s="242">
        <f>+'Zał.1_WPF_bazowy'!J72</f>
        <v>2968000</v>
      </c>
      <c r="K79" s="242">
        <f>+'Zał.1_WPF_bazowy'!K72</f>
        <v>1801250.1</v>
      </c>
      <c r="L79" s="242">
        <f>+'Zał.1_WPF_bazowy'!L72</f>
        <v>0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588143.98</v>
      </c>
      <c r="I80" s="241">
        <f>+'Zał.1_WPF_bazowy'!I73</f>
        <v>3201404.52</v>
      </c>
      <c r="J80" s="242">
        <f>+'Zał.1_WPF_bazowy'!J73</f>
        <v>2968000</v>
      </c>
      <c r="K80" s="242">
        <f>+'Zał.1_WPF_bazowy'!K73</f>
        <v>1801250.1</v>
      </c>
      <c r="L80" s="242">
        <f>+'Zał.1_WPF_bazowy'!L73</f>
        <v>0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107124.68</v>
      </c>
      <c r="I81" s="241">
        <f>+'Zał.1_WPF_bazowy'!I74</f>
        <v>77546.33</v>
      </c>
      <c r="J81" s="242">
        <f>+'Zał.1_WPF_bazowy'!J74</f>
        <v>71083.64</v>
      </c>
      <c r="K81" s="242">
        <f>+'Zał.1_WPF_bazowy'!K74</f>
        <v>24300</v>
      </c>
      <c r="L81" s="242">
        <f>+'Zał.1_WPF_bazowy'!L74</f>
        <v>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83581.4</v>
      </c>
      <c r="I82" s="241">
        <f>+'Zał.1_WPF_bazowy'!I75</f>
        <v>51152.44</v>
      </c>
      <c r="J82" s="242">
        <f>+'Zał.1_WPF_bazowy'!J75</f>
        <v>51843.64</v>
      </c>
      <c r="K82" s="242">
        <f>+'Zał.1_WPF_bazowy'!K75</f>
        <v>14960</v>
      </c>
      <c r="L82" s="242">
        <f>+'Zał.1_WPF_bazowy'!L75</f>
        <v>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107124.68</v>
      </c>
      <c r="I83" s="241">
        <f>+'Zał.1_WPF_bazowy'!I76</f>
        <v>77546.33</v>
      </c>
      <c r="J83" s="242">
        <f>+'Zał.1_WPF_bazowy'!J76</f>
        <v>71083.64</v>
      </c>
      <c r="K83" s="242">
        <f>+'Zał.1_WPF_bazowy'!K76</f>
        <v>24300</v>
      </c>
      <c r="L83" s="242">
        <f>+'Zał.1_WPF_bazowy'!L76</f>
        <v>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4289870.71</v>
      </c>
      <c r="J84" s="242">
        <f>+'Zał.1_WPF_bazowy'!J77</f>
        <v>5872632.01</v>
      </c>
      <c r="K84" s="242">
        <f>+'Zał.1_WPF_bazowy'!K77</f>
        <v>4111919.51</v>
      </c>
      <c r="L84" s="242">
        <f>+'Zał.1_WPF_bazowy'!L77</f>
        <v>0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767543.06</v>
      </c>
      <c r="I85" s="241">
        <f>+'Zał.1_WPF_bazowy'!I78</f>
        <v>2970368.09</v>
      </c>
      <c r="J85" s="242">
        <f>+'Zał.1_WPF_bazowy'!J78</f>
        <v>2968000</v>
      </c>
      <c r="K85" s="242">
        <f>+'Zał.1_WPF_bazowy'!K78</f>
        <v>1801250.1</v>
      </c>
      <c r="L85" s="242">
        <f>+'Zał.1_WPF_bazowy'!L78</f>
        <v>0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4289870.71</v>
      </c>
      <c r="J86" s="242">
        <f>+'Zał.1_WPF_bazowy'!J79</f>
        <v>5872632.01</v>
      </c>
      <c r="K86" s="242">
        <f>+'Zał.1_WPF_bazowy'!K79</f>
        <v>4111919.51</v>
      </c>
      <c r="L86" s="242">
        <f>+'Zał.1_WPF_bazowy'!L79</f>
        <v>0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796718.89</v>
      </c>
      <c r="I87" s="241">
        <f>+'Zał.1_WPF_bazowy'!I80</f>
        <v>1345896.51</v>
      </c>
      <c r="J87" s="242">
        <f>+'Zał.1_WPF_bazowy'!J80</f>
        <v>2923872.01</v>
      </c>
      <c r="K87" s="242">
        <f>+'Zał.1_WPF_bazowy'!K80</f>
        <v>2320009.41</v>
      </c>
      <c r="L87" s="242">
        <f>+'Zał.1_WPF_bazowy'!L80</f>
        <v>0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796718.89</v>
      </c>
      <c r="I88" s="241">
        <f>+'Zał.1_WPF_bazowy'!I81</f>
        <v>1345896.51</v>
      </c>
      <c r="J88" s="242">
        <f>+'Zał.1_WPF_bazowy'!J81</f>
        <v>2923872.01</v>
      </c>
      <c r="K88" s="242">
        <f>+'Zał.1_WPF_bazowy'!K81</f>
        <v>2320009.41</v>
      </c>
      <c r="L88" s="242">
        <f>+'Zał.1_WPF_bazowy'!L81</f>
        <v>0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47876316.36</v>
      </c>
      <c r="I189" s="161">
        <f>I11+I18</f>
        <v>58624216.22</v>
      </c>
      <c r="J189" s="162">
        <f>J11+J18</f>
        <v>53968000</v>
      </c>
      <c r="K189" s="162">
        <f>K11+K18</f>
        <v>49178762.71</v>
      </c>
      <c r="L189" s="162">
        <f>L11+L18</f>
        <v>48100000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47344696.68</v>
      </c>
      <c r="I190" s="167">
        <f>I22+I30</f>
        <v>59943718.84</v>
      </c>
      <c r="J190" s="168">
        <f>J22+J30</f>
        <v>52107996</v>
      </c>
      <c r="K190" s="168">
        <f>K22+K30</f>
        <v>46968758.71</v>
      </c>
      <c r="L190" s="168">
        <f>L22+L30</f>
        <v>45889996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53100000</v>
      </c>
      <c r="Q190" s="168">
        <f>Q22+Q30</f>
        <v>55068066.269999996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531619.6799999997</v>
      </c>
      <c r="I191" s="167">
        <f>I10-I21</f>
        <v>-1319502.6200000048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1000000</v>
      </c>
      <c r="Q191" s="168">
        <f>Q10-Q21</f>
        <v>531933.7300000042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13876220</v>
      </c>
      <c r="I192" s="167">
        <f>H48+I37-I42+(I105-H105)+I110</f>
        <v>13729949.73</v>
      </c>
      <c r="J192" s="168">
        <f>I48+J37-J42+(J105-I105)+J110</f>
        <v>11869945.73</v>
      </c>
      <c r="K192" s="168">
        <f>J48+K37-K42+(K105-J105)+K110</f>
        <v>9659941.73</v>
      </c>
      <c r="L192" s="168">
        <f>K48+L37-L42+(L105-K105)+L110</f>
        <v>7449937.73</v>
      </c>
      <c r="M192" s="168">
        <f>L48+M37-M42+(M105-L105)+M110</f>
        <v>5199933.73</v>
      </c>
      <c r="N192" s="168">
        <f>M48+N37-N42+(N105-M105)+N110</f>
        <v>2781933.7300000004</v>
      </c>
      <c r="O192" s="168">
        <f>N48+O37-O42+(O105-N105)+O110</f>
        <v>1531933.7300000004</v>
      </c>
      <c r="P192" s="168">
        <f>O48+P37-P42+(P105-O105)+P110</f>
        <v>531933.7300000004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0.025300000000000003</v>
      </c>
      <c r="J200" s="195">
        <f>+IF(J10=0,"",J59-J54)</f>
        <v>0.02096666666666666</v>
      </c>
      <c r="K200" s="195">
        <f>+IF(K10=0,"",K59-K54)</f>
        <v>0.03756666666666667</v>
      </c>
      <c r="L200" s="195">
        <f>+IF(L10=0,"",L59-L54)</f>
        <v>0.05616666666666666</v>
      </c>
      <c r="M200" s="195">
        <f>+IF(M10=0,"",M59-M54)</f>
        <v>0.06946666666666668</v>
      </c>
      <c r="N200" s="195">
        <f>+IF(N10=0,"",N59-N54)</f>
        <v>0.060233333333333326</v>
      </c>
      <c r="O200" s="195">
        <f>+IF(O10=0,"",O59-O54)</f>
        <v>0.10313333333333334</v>
      </c>
      <c r="P200" s="195">
        <f>+IF(P10=0,"",P59-P54)</f>
        <v>0.12513333333333332</v>
      </c>
      <c r="Q200" s="195">
        <f>+IF(Q10=0,"",Q59-Q54)</f>
        <v>0.14969999999999997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0.025300000000000003</v>
      </c>
      <c r="J201" s="201">
        <f>+IF(J10=0,"",J59-J55)</f>
        <v>0.02096666666666666</v>
      </c>
      <c r="K201" s="201">
        <f>+IF(K10=0,"",K59-K55)</f>
        <v>0.03756666666666667</v>
      </c>
      <c r="L201" s="201">
        <f>+IF(L10=0,"",L59-L55)</f>
        <v>0.05616666666666666</v>
      </c>
      <c r="M201" s="201">
        <f>+IF(M10=0,"",M59-M55)</f>
        <v>0.06946666666666668</v>
      </c>
      <c r="N201" s="201">
        <f>+IF(N10=0,"",N59-N55)</f>
        <v>0.060233333333333326</v>
      </c>
      <c r="O201" s="201">
        <f>+IF(O10=0,"",O59-O55)</f>
        <v>0.10313333333333334</v>
      </c>
      <c r="P201" s="201">
        <f>+IF(P10=0,"",P59-P55)</f>
        <v>0.12513333333333332</v>
      </c>
      <c r="Q201" s="201">
        <f>+IF(Q10=0,"",Q59-Q55)</f>
        <v>0.14969999999999997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0.0371</v>
      </c>
      <c r="J202" s="195">
        <f>+IF(J10=0,"",J60-J54)</f>
        <v>0.03270000000000001</v>
      </c>
      <c r="K202" s="195">
        <f>+IF(K10=0,"",K60-K54)</f>
        <v>0.049300000000000004</v>
      </c>
      <c r="L202" s="195">
        <f>+IF(L10=0,"",L60-L54)</f>
        <v>0.05620000000000001</v>
      </c>
      <c r="M202" s="195">
        <f>+IF(M10=0,"",M60-M54)</f>
        <v>0.0695</v>
      </c>
      <c r="N202" s="195">
        <f>+IF(N10=0,"",N60-N54)</f>
        <v>0.0602</v>
      </c>
      <c r="O202" s="195">
        <f>+IF(O10=0,"",O60-O54)</f>
        <v>0.10310000000000001</v>
      </c>
      <c r="P202" s="195">
        <f>+IF(P10=0,"",P60-P54)</f>
        <v>0.1251</v>
      </c>
      <c r="Q202" s="195">
        <f>+IF(Q10=0,"",Q60-Q54)</f>
        <v>0.1497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0.0371</v>
      </c>
      <c r="J203" s="201">
        <f>+IF(J10=0,"",J60-J55)</f>
        <v>0.03270000000000001</v>
      </c>
      <c r="K203" s="201">
        <f>+IF(K10=0,"",K60-K55)</f>
        <v>0.049300000000000004</v>
      </c>
      <c r="L203" s="201">
        <f>+IF(L10=0,"",L60-L55)</f>
        <v>0.05620000000000001</v>
      </c>
      <c r="M203" s="201">
        <f>+IF(M10=0,"",M60-M55)</f>
        <v>0.0695</v>
      </c>
      <c r="N203" s="201">
        <f>+IF(N10=0,"",N60-N55)</f>
        <v>0.0602</v>
      </c>
      <c r="O203" s="201">
        <f>+IF(O10=0,"",O60-O55)</f>
        <v>0.10310000000000001</v>
      </c>
      <c r="P203" s="201">
        <f>+IF(P10=0,"",P60-P55)</f>
        <v>0.1251</v>
      </c>
      <c r="Q203" s="201">
        <f>+IF(Q10=0,"",Q60-Q55)</f>
        <v>0.1497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5</v>
      </c>
      <c r="M4" s="343">
        <v>2023</v>
      </c>
      <c r="N4" s="344">
        <v>0</v>
      </c>
      <c r="O4" s="345">
        <v>43370</v>
      </c>
      <c r="P4" s="345">
        <v>43370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2019</v>
      </c>
      <c r="N5" s="344">
        <v>0</v>
      </c>
      <c r="O5" s="345">
        <v>43370</v>
      </c>
      <c r="P5" s="345">
        <v>43370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3</v>
      </c>
      <c r="M6" s="343">
        <v>2021</v>
      </c>
      <c r="N6" s="344">
        <v>0</v>
      </c>
      <c r="O6" s="345">
        <v>43370</v>
      </c>
      <c r="P6" s="345">
        <v>43370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6</v>
      </c>
      <c r="M7" s="343">
        <v>2024</v>
      </c>
      <c r="N7" s="344">
        <v>0</v>
      </c>
      <c r="O7" s="345">
        <v>43370</v>
      </c>
      <c r="P7" s="345">
        <v>43370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0</v>
      </c>
      <c r="M8" s="343">
        <v>2018</v>
      </c>
      <c r="N8" s="344">
        <v>1465772.89</v>
      </c>
      <c r="O8" s="345">
        <v>43370</v>
      </c>
      <c r="P8" s="345">
        <v>43370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7</v>
      </c>
      <c r="M9" s="343">
        <v>2025</v>
      </c>
      <c r="N9" s="344">
        <v>0</v>
      </c>
      <c r="O9" s="345">
        <v>43370</v>
      </c>
      <c r="P9" s="345">
        <v>43370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4</v>
      </c>
      <c r="M10" s="343">
        <v>2022</v>
      </c>
      <c r="N10" s="344">
        <v>0</v>
      </c>
      <c r="O10" s="345">
        <v>43370</v>
      </c>
      <c r="P10" s="345">
        <v>43370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2</v>
      </c>
      <c r="M11" s="343">
        <v>2020</v>
      </c>
      <c r="N11" s="344">
        <v>0</v>
      </c>
      <c r="O11" s="345">
        <v>43370</v>
      </c>
      <c r="P11" s="345">
        <v>43370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2026</v>
      </c>
      <c r="N12" s="344">
        <v>0</v>
      </c>
      <c r="O12" s="345">
        <v>43370</v>
      </c>
      <c r="P12" s="345">
        <v>43370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1</v>
      </c>
      <c r="M13" s="343">
        <v>2019</v>
      </c>
      <c r="N13" s="344">
        <v>0</v>
      </c>
      <c r="O13" s="345">
        <v>43370</v>
      </c>
      <c r="P13" s="345">
        <v>43370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5</v>
      </c>
      <c r="M14" s="343">
        <v>2023</v>
      </c>
      <c r="N14" s="344">
        <v>0</v>
      </c>
      <c r="O14" s="345">
        <v>43370</v>
      </c>
      <c r="P14" s="345">
        <v>43370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6</v>
      </c>
      <c r="M15" s="343">
        <v>2024</v>
      </c>
      <c r="N15" s="344">
        <v>0</v>
      </c>
      <c r="O15" s="345">
        <v>43370</v>
      </c>
      <c r="P15" s="345">
        <v>43370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2022</v>
      </c>
      <c r="N16" s="344">
        <v>0</v>
      </c>
      <c r="O16" s="345">
        <v>43370</v>
      </c>
      <c r="P16" s="345">
        <v>43370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2025</v>
      </c>
      <c r="N17" s="344">
        <v>0</v>
      </c>
      <c r="O17" s="345">
        <v>43370</v>
      </c>
      <c r="P17" s="345">
        <v>43370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0</v>
      </c>
      <c r="M18" s="343">
        <v>2018</v>
      </c>
      <c r="N18" s="344">
        <v>0</v>
      </c>
      <c r="O18" s="345">
        <v>43370</v>
      </c>
      <c r="P18" s="345">
        <v>43370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2</v>
      </c>
      <c r="M19" s="343">
        <v>2020</v>
      </c>
      <c r="N19" s="344">
        <v>0</v>
      </c>
      <c r="O19" s="345">
        <v>43370</v>
      </c>
      <c r="P19" s="345">
        <v>43370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3</v>
      </c>
      <c r="M20" s="343">
        <v>2021</v>
      </c>
      <c r="N20" s="344">
        <v>0</v>
      </c>
      <c r="O20" s="345">
        <v>43370</v>
      </c>
      <c r="P20" s="345">
        <v>43370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8</v>
      </c>
      <c r="M21" s="343">
        <v>2026</v>
      </c>
      <c r="N21" s="344">
        <v>0</v>
      </c>
      <c r="O21" s="345">
        <v>43370</v>
      </c>
      <c r="P21" s="345">
        <v>43370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0</v>
      </c>
      <c r="M22" s="343">
        <v>2018</v>
      </c>
      <c r="N22" s="344">
        <v>283317.33</v>
      </c>
      <c r="O22" s="345">
        <v>43370</v>
      </c>
      <c r="P22" s="345">
        <v>43370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3</v>
      </c>
      <c r="M23" s="343">
        <v>2021</v>
      </c>
      <c r="N23" s="344">
        <v>0</v>
      </c>
      <c r="O23" s="345">
        <v>43370</v>
      </c>
      <c r="P23" s="345">
        <v>43370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2022</v>
      </c>
      <c r="N24" s="344">
        <v>0</v>
      </c>
      <c r="O24" s="345">
        <v>43370</v>
      </c>
      <c r="P24" s="345">
        <v>43370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8</v>
      </c>
      <c r="M25" s="343">
        <v>2026</v>
      </c>
      <c r="N25" s="344">
        <v>0</v>
      </c>
      <c r="O25" s="345">
        <v>43370</v>
      </c>
      <c r="P25" s="345">
        <v>43370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7</v>
      </c>
      <c r="M26" s="343">
        <v>2025</v>
      </c>
      <c r="N26" s="344">
        <v>0</v>
      </c>
      <c r="O26" s="345">
        <v>43370</v>
      </c>
      <c r="P26" s="345">
        <v>43370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1</v>
      </c>
      <c r="M27" s="343">
        <v>2019</v>
      </c>
      <c r="N27" s="344">
        <v>10263715.65</v>
      </c>
      <c r="O27" s="345">
        <v>43370</v>
      </c>
      <c r="P27" s="345">
        <v>43370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2</v>
      </c>
      <c r="M28" s="343">
        <v>2020</v>
      </c>
      <c r="N28" s="344">
        <v>4967219.51</v>
      </c>
      <c r="O28" s="345">
        <v>43370</v>
      </c>
      <c r="P28" s="345">
        <v>43370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6</v>
      </c>
      <c r="M29" s="343">
        <v>2024</v>
      </c>
      <c r="N29" s="344">
        <v>0</v>
      </c>
      <c r="O29" s="345">
        <v>43370</v>
      </c>
      <c r="P29" s="345">
        <v>43370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5</v>
      </c>
      <c r="M30" s="343">
        <v>2023</v>
      </c>
      <c r="N30" s="344">
        <v>0</v>
      </c>
      <c r="O30" s="345">
        <v>43370</v>
      </c>
      <c r="P30" s="345">
        <v>43370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1</v>
      </c>
      <c r="M31" s="343">
        <v>2019</v>
      </c>
      <c r="N31" s="344">
        <v>2968000</v>
      </c>
      <c r="O31" s="345">
        <v>43370</v>
      </c>
      <c r="P31" s="345">
        <v>43370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0</v>
      </c>
      <c r="M32" s="343">
        <v>2018</v>
      </c>
      <c r="N32" s="344">
        <v>3201404.52</v>
      </c>
      <c r="O32" s="345">
        <v>43370</v>
      </c>
      <c r="P32" s="345">
        <v>43370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8</v>
      </c>
      <c r="M33" s="343">
        <v>2026</v>
      </c>
      <c r="N33" s="344">
        <v>0</v>
      </c>
      <c r="O33" s="345">
        <v>43370</v>
      </c>
      <c r="P33" s="345">
        <v>43370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7</v>
      </c>
      <c r="M34" s="343">
        <v>2025</v>
      </c>
      <c r="N34" s="344">
        <v>0</v>
      </c>
      <c r="O34" s="345">
        <v>43370</v>
      </c>
      <c r="P34" s="345">
        <v>43370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6</v>
      </c>
      <c r="M35" s="343">
        <v>2024</v>
      </c>
      <c r="N35" s="344">
        <v>0</v>
      </c>
      <c r="O35" s="345">
        <v>43370</v>
      </c>
      <c r="P35" s="345">
        <v>43370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2023</v>
      </c>
      <c r="N36" s="344">
        <v>0</v>
      </c>
      <c r="O36" s="345">
        <v>43370</v>
      </c>
      <c r="P36" s="345">
        <v>43370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3</v>
      </c>
      <c r="M37" s="343">
        <v>2021</v>
      </c>
      <c r="N37" s="344">
        <v>0</v>
      </c>
      <c r="O37" s="345">
        <v>43370</v>
      </c>
      <c r="P37" s="345">
        <v>43370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2</v>
      </c>
      <c r="M38" s="343">
        <v>2020</v>
      </c>
      <c r="N38" s="344">
        <v>1801250.1</v>
      </c>
      <c r="O38" s="345">
        <v>43370</v>
      </c>
      <c r="P38" s="345">
        <v>43370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4</v>
      </c>
      <c r="M39" s="343">
        <v>2022</v>
      </c>
      <c r="N39" s="344">
        <v>0</v>
      </c>
      <c r="O39" s="345">
        <v>43370</v>
      </c>
      <c r="P39" s="345">
        <v>43370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1</v>
      </c>
      <c r="M40" s="343">
        <v>2019</v>
      </c>
      <c r="N40" s="344">
        <v>0</v>
      </c>
      <c r="O40" s="345">
        <v>43370</v>
      </c>
      <c r="P40" s="345">
        <v>43370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4</v>
      </c>
      <c r="M41" s="343">
        <v>2022</v>
      </c>
      <c r="N41" s="344">
        <v>0</v>
      </c>
      <c r="O41" s="345">
        <v>43370</v>
      </c>
      <c r="P41" s="345">
        <v>43370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3</v>
      </c>
      <c r="M42" s="343">
        <v>2021</v>
      </c>
      <c r="N42" s="344">
        <v>0</v>
      </c>
      <c r="O42" s="345">
        <v>43370</v>
      </c>
      <c r="P42" s="345">
        <v>43370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5</v>
      </c>
      <c r="M43" s="343">
        <v>2023</v>
      </c>
      <c r="N43" s="344">
        <v>0</v>
      </c>
      <c r="O43" s="345">
        <v>43370</v>
      </c>
      <c r="P43" s="345">
        <v>43370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7</v>
      </c>
      <c r="M44" s="343">
        <v>2025</v>
      </c>
      <c r="N44" s="344">
        <v>0</v>
      </c>
      <c r="O44" s="345">
        <v>43370</v>
      </c>
      <c r="P44" s="345">
        <v>43370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0</v>
      </c>
      <c r="M45" s="343">
        <v>2018</v>
      </c>
      <c r="N45" s="344">
        <v>0</v>
      </c>
      <c r="O45" s="345">
        <v>43370</v>
      </c>
      <c r="P45" s="345">
        <v>43370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2</v>
      </c>
      <c r="M46" s="343">
        <v>2020</v>
      </c>
      <c r="N46" s="344">
        <v>0</v>
      </c>
      <c r="O46" s="345">
        <v>43370</v>
      </c>
      <c r="P46" s="345">
        <v>43370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8</v>
      </c>
      <c r="M47" s="343">
        <v>2026</v>
      </c>
      <c r="N47" s="344">
        <v>0</v>
      </c>
      <c r="O47" s="345">
        <v>43370</v>
      </c>
      <c r="P47" s="345">
        <v>43370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6</v>
      </c>
      <c r="M48" s="343">
        <v>2024</v>
      </c>
      <c r="N48" s="344">
        <v>0</v>
      </c>
      <c r="O48" s="345">
        <v>43370</v>
      </c>
      <c r="P48" s="345">
        <v>43370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8</v>
      </c>
      <c r="M49" s="343">
        <v>2026</v>
      </c>
      <c r="N49" s="344">
        <v>1497</v>
      </c>
      <c r="O49" s="345">
        <v>43370</v>
      </c>
      <c r="P49" s="345">
        <v>43370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5</v>
      </c>
      <c r="M50" s="343">
        <v>2023</v>
      </c>
      <c r="N50" s="344">
        <v>602</v>
      </c>
      <c r="O50" s="345">
        <v>43370</v>
      </c>
      <c r="P50" s="345">
        <v>43370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6</v>
      </c>
      <c r="M51" s="343">
        <v>2024</v>
      </c>
      <c r="N51" s="344">
        <v>1031</v>
      </c>
      <c r="O51" s="345">
        <v>43370</v>
      </c>
      <c r="P51" s="345">
        <v>43370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7</v>
      </c>
      <c r="M52" s="343">
        <v>2025</v>
      </c>
      <c r="N52" s="344">
        <v>1251</v>
      </c>
      <c r="O52" s="345">
        <v>43370</v>
      </c>
      <c r="P52" s="345">
        <v>43370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3</v>
      </c>
      <c r="M53" s="343">
        <v>2021</v>
      </c>
      <c r="N53" s="344">
        <v>562</v>
      </c>
      <c r="O53" s="345">
        <v>43370</v>
      </c>
      <c r="P53" s="345">
        <v>43370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0</v>
      </c>
      <c r="M54" s="343">
        <v>2018</v>
      </c>
      <c r="N54" s="344">
        <v>253</v>
      </c>
      <c r="O54" s="345">
        <v>43370</v>
      </c>
      <c r="P54" s="345">
        <v>43370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2</v>
      </c>
      <c r="M55" s="343">
        <v>2020</v>
      </c>
      <c r="N55" s="344">
        <v>376</v>
      </c>
      <c r="O55" s="345">
        <v>43370</v>
      </c>
      <c r="P55" s="345">
        <v>43370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2019</v>
      </c>
      <c r="N56" s="344">
        <v>210</v>
      </c>
      <c r="O56" s="345">
        <v>43370</v>
      </c>
      <c r="P56" s="345">
        <v>43370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4</v>
      </c>
      <c r="M57" s="343">
        <v>2022</v>
      </c>
      <c r="N57" s="344">
        <v>695</v>
      </c>
      <c r="O57" s="345">
        <v>43370</v>
      </c>
      <c r="P57" s="345">
        <v>43370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4</v>
      </c>
      <c r="M58" s="343">
        <v>2022</v>
      </c>
      <c r="N58" s="344">
        <v>0</v>
      </c>
      <c r="O58" s="345">
        <v>43370</v>
      </c>
      <c r="P58" s="345">
        <v>43370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3</v>
      </c>
      <c r="M59" s="343">
        <v>2021</v>
      </c>
      <c r="N59" s="344">
        <v>0</v>
      </c>
      <c r="O59" s="345">
        <v>43370</v>
      </c>
      <c r="P59" s="345">
        <v>43370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2024</v>
      </c>
      <c r="N60" s="344">
        <v>0</v>
      </c>
      <c r="O60" s="345">
        <v>43370</v>
      </c>
      <c r="P60" s="345">
        <v>43370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7</v>
      </c>
      <c r="M61" s="343">
        <v>2025</v>
      </c>
      <c r="N61" s="344">
        <v>0</v>
      </c>
      <c r="O61" s="345">
        <v>43370</v>
      </c>
      <c r="P61" s="345">
        <v>43370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8</v>
      </c>
      <c r="M62" s="343">
        <v>2026</v>
      </c>
      <c r="N62" s="344">
        <v>0</v>
      </c>
      <c r="O62" s="345">
        <v>43370</v>
      </c>
      <c r="P62" s="345">
        <v>43370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5</v>
      </c>
      <c r="M63" s="343">
        <v>2023</v>
      </c>
      <c r="N63" s="344">
        <v>0</v>
      </c>
      <c r="O63" s="345">
        <v>43370</v>
      </c>
      <c r="P63" s="345">
        <v>43370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0</v>
      </c>
      <c r="M64" s="343">
        <v>2018</v>
      </c>
      <c r="N64" s="344">
        <v>0</v>
      </c>
      <c r="O64" s="345">
        <v>43370</v>
      </c>
      <c r="P64" s="345">
        <v>43370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2</v>
      </c>
      <c r="M65" s="343">
        <v>2020</v>
      </c>
      <c r="N65" s="344">
        <v>0</v>
      </c>
      <c r="O65" s="345">
        <v>43370</v>
      </c>
      <c r="P65" s="345">
        <v>43370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1</v>
      </c>
      <c r="M66" s="343">
        <v>2019</v>
      </c>
      <c r="N66" s="344">
        <v>0</v>
      </c>
      <c r="O66" s="345">
        <v>43370</v>
      </c>
      <c r="P66" s="345">
        <v>43370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3</v>
      </c>
      <c r="M67" s="343">
        <v>2021</v>
      </c>
      <c r="N67" s="344">
        <v>2210004</v>
      </c>
      <c r="O67" s="345">
        <v>43370</v>
      </c>
      <c r="P67" s="345">
        <v>43370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5</v>
      </c>
      <c r="M68" s="343">
        <v>2023</v>
      </c>
      <c r="N68" s="344">
        <v>2418000</v>
      </c>
      <c r="O68" s="345">
        <v>43370</v>
      </c>
      <c r="P68" s="345">
        <v>43370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0</v>
      </c>
      <c r="M69" s="343">
        <v>2018</v>
      </c>
      <c r="N69" s="344">
        <v>1678204</v>
      </c>
      <c r="O69" s="345">
        <v>43370</v>
      </c>
      <c r="P69" s="345">
        <v>43370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4</v>
      </c>
      <c r="M70" s="343">
        <v>2022</v>
      </c>
      <c r="N70" s="344">
        <v>2250004</v>
      </c>
      <c r="O70" s="345">
        <v>43370</v>
      </c>
      <c r="P70" s="345">
        <v>43370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2</v>
      </c>
      <c r="M71" s="343">
        <v>2020</v>
      </c>
      <c r="N71" s="344">
        <v>2210004</v>
      </c>
      <c r="O71" s="345">
        <v>43370</v>
      </c>
      <c r="P71" s="345">
        <v>43370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6</v>
      </c>
      <c r="M72" s="343">
        <v>2024</v>
      </c>
      <c r="N72" s="344">
        <v>1250000</v>
      </c>
      <c r="O72" s="345">
        <v>43370</v>
      </c>
      <c r="P72" s="345">
        <v>43370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8</v>
      </c>
      <c r="M73" s="343">
        <v>2026</v>
      </c>
      <c r="N73" s="344">
        <v>0</v>
      </c>
      <c r="O73" s="345">
        <v>43370</v>
      </c>
      <c r="P73" s="345">
        <v>43370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1</v>
      </c>
      <c r="M74" s="343">
        <v>2019</v>
      </c>
      <c r="N74" s="344">
        <v>1860004</v>
      </c>
      <c r="O74" s="345">
        <v>43370</v>
      </c>
      <c r="P74" s="345">
        <v>43370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7</v>
      </c>
      <c r="M75" s="343">
        <v>2025</v>
      </c>
      <c r="N75" s="344">
        <v>0</v>
      </c>
      <c r="O75" s="345">
        <v>43370</v>
      </c>
      <c r="P75" s="345">
        <v>43370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0</v>
      </c>
      <c r="M76" s="343">
        <v>2018</v>
      </c>
      <c r="N76" s="344">
        <v>150000</v>
      </c>
      <c r="O76" s="345">
        <v>43370</v>
      </c>
      <c r="P76" s="345">
        <v>43370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6</v>
      </c>
      <c r="M77" s="343">
        <v>2024</v>
      </c>
      <c r="N77" s="344">
        <v>0</v>
      </c>
      <c r="O77" s="345">
        <v>43370</v>
      </c>
      <c r="P77" s="345">
        <v>43370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3</v>
      </c>
      <c r="M78" s="343">
        <v>2021</v>
      </c>
      <c r="N78" s="344">
        <v>180000</v>
      </c>
      <c r="O78" s="345">
        <v>43370</v>
      </c>
      <c r="P78" s="345">
        <v>43370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8</v>
      </c>
      <c r="M79" s="343">
        <v>2026</v>
      </c>
      <c r="N79" s="344">
        <v>0</v>
      </c>
      <c r="O79" s="345">
        <v>43370</v>
      </c>
      <c r="P79" s="345">
        <v>43370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1</v>
      </c>
      <c r="M80" s="343">
        <v>2019</v>
      </c>
      <c r="N80" s="344">
        <v>160000</v>
      </c>
      <c r="O80" s="345">
        <v>43370</v>
      </c>
      <c r="P80" s="345">
        <v>43370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7</v>
      </c>
      <c r="M81" s="343">
        <v>2025</v>
      </c>
      <c r="N81" s="344">
        <v>0</v>
      </c>
      <c r="O81" s="345">
        <v>43370</v>
      </c>
      <c r="P81" s="345">
        <v>43370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2022</v>
      </c>
      <c r="N82" s="344">
        <v>0</v>
      </c>
      <c r="O82" s="345">
        <v>43370</v>
      </c>
      <c r="P82" s="345">
        <v>43370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5</v>
      </c>
      <c r="M83" s="343">
        <v>2023</v>
      </c>
      <c r="N83" s="344">
        <v>0</v>
      </c>
      <c r="O83" s="345">
        <v>43370</v>
      </c>
      <c r="P83" s="345">
        <v>43370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2</v>
      </c>
      <c r="M84" s="343">
        <v>2020</v>
      </c>
      <c r="N84" s="344">
        <v>170000</v>
      </c>
      <c r="O84" s="345">
        <v>43370</v>
      </c>
      <c r="P84" s="345">
        <v>43370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3</v>
      </c>
      <c r="M85" s="343">
        <v>2021</v>
      </c>
      <c r="N85" s="344">
        <v>0</v>
      </c>
      <c r="O85" s="345">
        <v>43370</v>
      </c>
      <c r="P85" s="345">
        <v>43370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8</v>
      </c>
      <c r="M86" s="343">
        <v>2026</v>
      </c>
      <c r="N86" s="344">
        <v>0</v>
      </c>
      <c r="O86" s="345">
        <v>43370</v>
      </c>
      <c r="P86" s="345">
        <v>43370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5</v>
      </c>
      <c r="M87" s="343">
        <v>2023</v>
      </c>
      <c r="N87" s="344">
        <v>0</v>
      </c>
      <c r="O87" s="345">
        <v>43370</v>
      </c>
      <c r="P87" s="345">
        <v>43370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2019</v>
      </c>
      <c r="N88" s="344">
        <v>0</v>
      </c>
      <c r="O88" s="345">
        <v>43370</v>
      </c>
      <c r="P88" s="345">
        <v>43370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2</v>
      </c>
      <c r="M89" s="343">
        <v>2020</v>
      </c>
      <c r="N89" s="344">
        <v>0</v>
      </c>
      <c r="O89" s="345">
        <v>43370</v>
      </c>
      <c r="P89" s="345">
        <v>43370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0</v>
      </c>
      <c r="M90" s="343">
        <v>2018</v>
      </c>
      <c r="N90" s="344">
        <v>0</v>
      </c>
      <c r="O90" s="345">
        <v>43370</v>
      </c>
      <c r="P90" s="345">
        <v>43370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4</v>
      </c>
      <c r="M91" s="343">
        <v>2022</v>
      </c>
      <c r="N91" s="344">
        <v>0</v>
      </c>
      <c r="O91" s="345">
        <v>43370</v>
      </c>
      <c r="P91" s="345">
        <v>43370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6</v>
      </c>
      <c r="M92" s="343">
        <v>2024</v>
      </c>
      <c r="N92" s="344">
        <v>0</v>
      </c>
      <c r="O92" s="345">
        <v>43370</v>
      </c>
      <c r="P92" s="345">
        <v>43370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7</v>
      </c>
      <c r="M93" s="343">
        <v>2025</v>
      </c>
      <c r="N93" s="344">
        <v>0</v>
      </c>
      <c r="O93" s="345">
        <v>43370</v>
      </c>
      <c r="P93" s="345">
        <v>43370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2019</v>
      </c>
      <c r="N94" s="344">
        <v>0</v>
      </c>
      <c r="O94" s="345">
        <v>43370</v>
      </c>
      <c r="P94" s="345">
        <v>43370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4</v>
      </c>
      <c r="M95" s="343">
        <v>2022</v>
      </c>
      <c r="N95" s="344">
        <v>0</v>
      </c>
      <c r="O95" s="345">
        <v>43370</v>
      </c>
      <c r="P95" s="345">
        <v>43370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4</v>
      </c>
      <c r="M96" s="343">
        <v>2022</v>
      </c>
      <c r="N96" s="344">
        <v>0</v>
      </c>
      <c r="O96" s="345">
        <v>43370</v>
      </c>
      <c r="P96" s="345">
        <v>43370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6</v>
      </c>
      <c r="M97" s="343">
        <v>2024</v>
      </c>
      <c r="N97" s="344">
        <v>0</v>
      </c>
      <c r="O97" s="345">
        <v>43370</v>
      </c>
      <c r="P97" s="345">
        <v>43370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5</v>
      </c>
      <c r="M98" s="343">
        <v>2023</v>
      </c>
      <c r="N98" s="344">
        <v>0</v>
      </c>
      <c r="O98" s="345">
        <v>43370</v>
      </c>
      <c r="P98" s="345">
        <v>43370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8</v>
      </c>
      <c r="M99" s="343">
        <v>2026</v>
      </c>
      <c r="N99" s="344">
        <v>0</v>
      </c>
      <c r="O99" s="345">
        <v>43370</v>
      </c>
      <c r="P99" s="345">
        <v>43370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0</v>
      </c>
      <c r="M100" s="343">
        <v>2018</v>
      </c>
      <c r="N100" s="344">
        <v>0</v>
      </c>
      <c r="O100" s="345">
        <v>43370</v>
      </c>
      <c r="P100" s="345">
        <v>43370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2</v>
      </c>
      <c r="M101" s="343">
        <v>2020</v>
      </c>
      <c r="N101" s="344">
        <v>0</v>
      </c>
      <c r="O101" s="345">
        <v>43370</v>
      </c>
      <c r="P101" s="345">
        <v>43370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7</v>
      </c>
      <c r="M102" s="343">
        <v>2025</v>
      </c>
      <c r="N102" s="344">
        <v>0</v>
      </c>
      <c r="O102" s="345">
        <v>43370</v>
      </c>
      <c r="P102" s="345">
        <v>43370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3</v>
      </c>
      <c r="M103" s="343">
        <v>2021</v>
      </c>
      <c r="N103" s="344">
        <v>0</v>
      </c>
      <c r="O103" s="345">
        <v>43370</v>
      </c>
      <c r="P103" s="345">
        <v>43370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2</v>
      </c>
      <c r="M104" s="343">
        <v>2020</v>
      </c>
      <c r="N104" s="344">
        <v>0</v>
      </c>
      <c r="O104" s="345">
        <v>43370</v>
      </c>
      <c r="P104" s="345">
        <v>43370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6</v>
      </c>
      <c r="M105" s="343">
        <v>2024</v>
      </c>
      <c r="N105" s="344">
        <v>0</v>
      </c>
      <c r="O105" s="345">
        <v>43370</v>
      </c>
      <c r="P105" s="345">
        <v>43370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5</v>
      </c>
      <c r="M106" s="343">
        <v>2023</v>
      </c>
      <c r="N106" s="344">
        <v>0</v>
      </c>
      <c r="O106" s="345">
        <v>43370</v>
      </c>
      <c r="P106" s="345">
        <v>43370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8</v>
      </c>
      <c r="M107" s="343">
        <v>2026</v>
      </c>
      <c r="N107" s="344">
        <v>0</v>
      </c>
      <c r="O107" s="345">
        <v>43370</v>
      </c>
      <c r="P107" s="345">
        <v>43370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3</v>
      </c>
      <c r="M108" s="343">
        <v>2021</v>
      </c>
      <c r="N108" s="344">
        <v>0</v>
      </c>
      <c r="O108" s="345">
        <v>43370</v>
      </c>
      <c r="P108" s="345">
        <v>43370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1</v>
      </c>
      <c r="M109" s="343">
        <v>2019</v>
      </c>
      <c r="N109" s="344">
        <v>0</v>
      </c>
      <c r="O109" s="345">
        <v>43370</v>
      </c>
      <c r="P109" s="345">
        <v>43370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0</v>
      </c>
      <c r="M110" s="343">
        <v>2018</v>
      </c>
      <c r="N110" s="344">
        <v>0</v>
      </c>
      <c r="O110" s="345">
        <v>43370</v>
      </c>
      <c r="P110" s="345">
        <v>43370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7</v>
      </c>
      <c r="M111" s="343">
        <v>2025</v>
      </c>
      <c r="N111" s="344">
        <v>0</v>
      </c>
      <c r="O111" s="345">
        <v>43370</v>
      </c>
      <c r="P111" s="345">
        <v>43370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4</v>
      </c>
      <c r="M112" s="343">
        <v>2022</v>
      </c>
      <c r="N112" s="344">
        <v>0</v>
      </c>
      <c r="O112" s="345">
        <v>43370</v>
      </c>
      <c r="P112" s="345">
        <v>43370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5</v>
      </c>
      <c r="M113" s="343">
        <v>2023</v>
      </c>
      <c r="N113" s="344">
        <v>0</v>
      </c>
      <c r="O113" s="345">
        <v>43370</v>
      </c>
      <c r="P113" s="345">
        <v>43370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1</v>
      </c>
      <c r="M114" s="343">
        <v>2019</v>
      </c>
      <c r="N114" s="344">
        <v>0</v>
      </c>
      <c r="O114" s="345">
        <v>43370</v>
      </c>
      <c r="P114" s="345">
        <v>43370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0</v>
      </c>
      <c r="M115" s="343">
        <v>2018</v>
      </c>
      <c r="N115" s="344">
        <v>0</v>
      </c>
      <c r="O115" s="345">
        <v>43370</v>
      </c>
      <c r="P115" s="345">
        <v>43370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43370</v>
      </c>
      <c r="P116" s="345">
        <v>43370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2</v>
      </c>
      <c r="M117" s="343">
        <v>2020</v>
      </c>
      <c r="N117" s="344">
        <v>0</v>
      </c>
      <c r="O117" s="345">
        <v>43370</v>
      </c>
      <c r="P117" s="345">
        <v>43370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7</v>
      </c>
      <c r="M118" s="343">
        <v>2025</v>
      </c>
      <c r="N118" s="344">
        <v>0</v>
      </c>
      <c r="O118" s="345">
        <v>43370</v>
      </c>
      <c r="P118" s="345">
        <v>43370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3</v>
      </c>
      <c r="M119" s="343">
        <v>2021</v>
      </c>
      <c r="N119" s="344">
        <v>0</v>
      </c>
      <c r="O119" s="345">
        <v>43370</v>
      </c>
      <c r="P119" s="345">
        <v>43370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8</v>
      </c>
      <c r="M120" s="343">
        <v>2026</v>
      </c>
      <c r="N120" s="344">
        <v>0</v>
      </c>
      <c r="O120" s="345">
        <v>43370</v>
      </c>
      <c r="P120" s="345">
        <v>43370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8</v>
      </c>
      <c r="M121" s="343">
        <v>2026</v>
      </c>
      <c r="N121" s="344">
        <v>0</v>
      </c>
      <c r="O121" s="345">
        <v>43370</v>
      </c>
      <c r="P121" s="345">
        <v>43370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1</v>
      </c>
      <c r="M122" s="343">
        <v>2019</v>
      </c>
      <c r="N122" s="344">
        <v>0</v>
      </c>
      <c r="O122" s="345">
        <v>43370</v>
      </c>
      <c r="P122" s="345">
        <v>43370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5</v>
      </c>
      <c r="M123" s="343">
        <v>2023</v>
      </c>
      <c r="N123" s="344">
        <v>0</v>
      </c>
      <c r="O123" s="345">
        <v>43370</v>
      </c>
      <c r="P123" s="345">
        <v>43370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3</v>
      </c>
      <c r="M124" s="343">
        <v>2021</v>
      </c>
      <c r="N124" s="344">
        <v>0</v>
      </c>
      <c r="O124" s="345">
        <v>43370</v>
      </c>
      <c r="P124" s="345">
        <v>43370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4</v>
      </c>
      <c r="M125" s="343">
        <v>2022</v>
      </c>
      <c r="N125" s="344">
        <v>0</v>
      </c>
      <c r="O125" s="345">
        <v>43370</v>
      </c>
      <c r="P125" s="345">
        <v>43370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2018</v>
      </c>
      <c r="N126" s="344">
        <v>0</v>
      </c>
      <c r="O126" s="345">
        <v>43370</v>
      </c>
      <c r="P126" s="345">
        <v>43370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6</v>
      </c>
      <c r="M127" s="343">
        <v>2024</v>
      </c>
      <c r="N127" s="344">
        <v>0</v>
      </c>
      <c r="O127" s="345">
        <v>43370</v>
      </c>
      <c r="P127" s="345">
        <v>43370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4</v>
      </c>
      <c r="M128" s="343">
        <v>2022</v>
      </c>
      <c r="N128" s="344">
        <v>0</v>
      </c>
      <c r="O128" s="345">
        <v>43370</v>
      </c>
      <c r="P128" s="345">
        <v>43370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7</v>
      </c>
      <c r="M129" s="343">
        <v>2025</v>
      </c>
      <c r="N129" s="344">
        <v>0</v>
      </c>
      <c r="O129" s="345">
        <v>43370</v>
      </c>
      <c r="P129" s="345">
        <v>43370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2</v>
      </c>
      <c r="M130" s="343">
        <v>2020</v>
      </c>
      <c r="N130" s="344">
        <v>0</v>
      </c>
      <c r="O130" s="345">
        <v>43370</v>
      </c>
      <c r="P130" s="345">
        <v>43370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3</v>
      </c>
      <c r="M131" s="343">
        <v>2021</v>
      </c>
      <c r="N131" s="344">
        <v>0</v>
      </c>
      <c r="O131" s="345">
        <v>43370</v>
      </c>
      <c r="P131" s="345">
        <v>43370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8</v>
      </c>
      <c r="M132" s="343">
        <v>2026</v>
      </c>
      <c r="N132" s="344">
        <v>0</v>
      </c>
      <c r="O132" s="345">
        <v>43370</v>
      </c>
      <c r="P132" s="345">
        <v>43370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0</v>
      </c>
      <c r="M133" s="343">
        <v>2018</v>
      </c>
      <c r="N133" s="344">
        <v>0</v>
      </c>
      <c r="O133" s="345">
        <v>43370</v>
      </c>
      <c r="P133" s="345">
        <v>43370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2025</v>
      </c>
      <c r="N134" s="344">
        <v>0</v>
      </c>
      <c r="O134" s="345">
        <v>43370</v>
      </c>
      <c r="P134" s="345">
        <v>43370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2</v>
      </c>
      <c r="M135" s="343">
        <v>2020</v>
      </c>
      <c r="N135" s="344">
        <v>0</v>
      </c>
      <c r="O135" s="345">
        <v>43370</v>
      </c>
      <c r="P135" s="345">
        <v>43370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4</v>
      </c>
      <c r="M136" s="343">
        <v>2022</v>
      </c>
      <c r="N136" s="344">
        <v>0</v>
      </c>
      <c r="O136" s="345">
        <v>43370</v>
      </c>
      <c r="P136" s="345">
        <v>43370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5</v>
      </c>
      <c r="M137" s="343">
        <v>2023</v>
      </c>
      <c r="N137" s="344">
        <v>0</v>
      </c>
      <c r="O137" s="345">
        <v>43370</v>
      </c>
      <c r="P137" s="345">
        <v>43370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1</v>
      </c>
      <c r="M138" s="343">
        <v>2019</v>
      </c>
      <c r="N138" s="344">
        <v>0</v>
      </c>
      <c r="O138" s="345">
        <v>43370</v>
      </c>
      <c r="P138" s="345">
        <v>43370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6</v>
      </c>
      <c r="M139" s="343">
        <v>2024</v>
      </c>
      <c r="N139" s="344">
        <v>0</v>
      </c>
      <c r="O139" s="345">
        <v>43370</v>
      </c>
      <c r="P139" s="345">
        <v>43370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8</v>
      </c>
      <c r="M140" s="343">
        <v>2026</v>
      </c>
      <c r="N140" s="344">
        <v>0</v>
      </c>
      <c r="O140" s="345">
        <v>43370</v>
      </c>
      <c r="P140" s="345">
        <v>43370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5</v>
      </c>
      <c r="M141" s="343">
        <v>2023</v>
      </c>
      <c r="N141" s="344">
        <v>0</v>
      </c>
      <c r="O141" s="345">
        <v>43370</v>
      </c>
      <c r="P141" s="345">
        <v>43370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3</v>
      </c>
      <c r="M142" s="343">
        <v>2021</v>
      </c>
      <c r="N142" s="344">
        <v>0</v>
      </c>
      <c r="O142" s="345">
        <v>43370</v>
      </c>
      <c r="P142" s="345">
        <v>43370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0</v>
      </c>
      <c r="M143" s="343">
        <v>2018</v>
      </c>
      <c r="N143" s="344">
        <v>0</v>
      </c>
      <c r="O143" s="345">
        <v>43370</v>
      </c>
      <c r="P143" s="345">
        <v>43370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2019</v>
      </c>
      <c r="N144" s="344">
        <v>0</v>
      </c>
      <c r="O144" s="345">
        <v>43370</v>
      </c>
      <c r="P144" s="345">
        <v>43370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6</v>
      </c>
      <c r="M145" s="343">
        <v>2024</v>
      </c>
      <c r="N145" s="344">
        <v>0</v>
      </c>
      <c r="O145" s="345">
        <v>43370</v>
      </c>
      <c r="P145" s="345">
        <v>43370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4</v>
      </c>
      <c r="M146" s="343">
        <v>2022</v>
      </c>
      <c r="N146" s="344">
        <v>0</v>
      </c>
      <c r="O146" s="345">
        <v>43370</v>
      </c>
      <c r="P146" s="345">
        <v>43370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2</v>
      </c>
      <c r="M147" s="343">
        <v>2020</v>
      </c>
      <c r="N147" s="344">
        <v>0</v>
      </c>
      <c r="O147" s="345">
        <v>43370</v>
      </c>
      <c r="P147" s="345">
        <v>43370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7</v>
      </c>
      <c r="M148" s="343">
        <v>2025</v>
      </c>
      <c r="N148" s="344">
        <v>0</v>
      </c>
      <c r="O148" s="345">
        <v>43370</v>
      </c>
      <c r="P148" s="345">
        <v>43370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5</v>
      </c>
      <c r="M149" s="343">
        <v>2023</v>
      </c>
      <c r="N149" s="344">
        <v>0</v>
      </c>
      <c r="O149" s="345">
        <v>43370</v>
      </c>
      <c r="P149" s="345">
        <v>43370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2019</v>
      </c>
      <c r="N150" s="344">
        <v>3918000</v>
      </c>
      <c r="O150" s="345">
        <v>43370</v>
      </c>
      <c r="P150" s="345">
        <v>43370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8</v>
      </c>
      <c r="M151" s="343">
        <v>2026</v>
      </c>
      <c r="N151" s="344">
        <v>0</v>
      </c>
      <c r="O151" s="345">
        <v>43370</v>
      </c>
      <c r="P151" s="345">
        <v>43370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2</v>
      </c>
      <c r="M152" s="343">
        <v>2020</v>
      </c>
      <c r="N152" s="344">
        <v>2578762.71</v>
      </c>
      <c r="O152" s="345">
        <v>43370</v>
      </c>
      <c r="P152" s="345">
        <v>43370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6</v>
      </c>
      <c r="M153" s="343">
        <v>2024</v>
      </c>
      <c r="N153" s="344">
        <v>0</v>
      </c>
      <c r="O153" s="345">
        <v>43370</v>
      </c>
      <c r="P153" s="345">
        <v>43370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0</v>
      </c>
      <c r="M154" s="343">
        <v>2018</v>
      </c>
      <c r="N154" s="344">
        <v>11447517.16</v>
      </c>
      <c r="O154" s="345">
        <v>43370</v>
      </c>
      <c r="P154" s="345">
        <v>43370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7</v>
      </c>
      <c r="M155" s="343">
        <v>2025</v>
      </c>
      <c r="N155" s="344">
        <v>0</v>
      </c>
      <c r="O155" s="345">
        <v>43370</v>
      </c>
      <c r="P155" s="345">
        <v>43370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3</v>
      </c>
      <c r="M156" s="343">
        <v>2021</v>
      </c>
      <c r="N156" s="344">
        <v>0</v>
      </c>
      <c r="O156" s="345">
        <v>43370</v>
      </c>
      <c r="P156" s="345">
        <v>43370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5</v>
      </c>
      <c r="M157" s="343">
        <v>2023</v>
      </c>
      <c r="N157" s="344">
        <v>0</v>
      </c>
      <c r="O157" s="345">
        <v>43370</v>
      </c>
      <c r="P157" s="345">
        <v>43370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8</v>
      </c>
      <c r="M158" s="343">
        <v>2026</v>
      </c>
      <c r="N158" s="344">
        <v>0</v>
      </c>
      <c r="O158" s="345">
        <v>43370</v>
      </c>
      <c r="P158" s="345">
        <v>43370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4</v>
      </c>
      <c r="M159" s="343">
        <v>2022</v>
      </c>
      <c r="N159" s="344">
        <v>0</v>
      </c>
      <c r="O159" s="345">
        <v>43370</v>
      </c>
      <c r="P159" s="345">
        <v>43370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3</v>
      </c>
      <c r="M160" s="343">
        <v>2021</v>
      </c>
      <c r="N160" s="344">
        <v>0</v>
      </c>
      <c r="O160" s="345">
        <v>43370</v>
      </c>
      <c r="P160" s="345">
        <v>43370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0</v>
      </c>
      <c r="M161" s="343">
        <v>2018</v>
      </c>
      <c r="N161" s="344">
        <v>0</v>
      </c>
      <c r="O161" s="345">
        <v>43370</v>
      </c>
      <c r="P161" s="345">
        <v>43370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2</v>
      </c>
      <c r="M162" s="343">
        <v>2020</v>
      </c>
      <c r="N162" s="344">
        <v>0</v>
      </c>
      <c r="O162" s="345">
        <v>43370</v>
      </c>
      <c r="P162" s="345">
        <v>43370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6</v>
      </c>
      <c r="M163" s="343">
        <v>2024</v>
      </c>
      <c r="N163" s="344">
        <v>0</v>
      </c>
      <c r="O163" s="345">
        <v>43370</v>
      </c>
      <c r="P163" s="345">
        <v>43370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1</v>
      </c>
      <c r="M164" s="343">
        <v>2019</v>
      </c>
      <c r="N164" s="344">
        <v>0</v>
      </c>
      <c r="O164" s="345">
        <v>43370</v>
      </c>
      <c r="P164" s="345">
        <v>43370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7</v>
      </c>
      <c r="M165" s="343">
        <v>2025</v>
      </c>
      <c r="N165" s="344">
        <v>0</v>
      </c>
      <c r="O165" s="345">
        <v>43370</v>
      </c>
      <c r="P165" s="345">
        <v>43370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6</v>
      </c>
      <c r="M166" s="343">
        <v>2024</v>
      </c>
      <c r="N166" s="344">
        <v>0</v>
      </c>
      <c r="O166" s="345">
        <v>43370</v>
      </c>
      <c r="P166" s="345">
        <v>43370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3</v>
      </c>
      <c r="M167" s="343">
        <v>2021</v>
      </c>
      <c r="N167" s="344">
        <v>0</v>
      </c>
      <c r="O167" s="345">
        <v>43370</v>
      </c>
      <c r="P167" s="345">
        <v>43370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2</v>
      </c>
      <c r="M168" s="343">
        <v>2020</v>
      </c>
      <c r="N168" s="344">
        <v>0</v>
      </c>
      <c r="O168" s="345">
        <v>43370</v>
      </c>
      <c r="P168" s="345">
        <v>43370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8</v>
      </c>
      <c r="M169" s="343">
        <v>2026</v>
      </c>
      <c r="N169" s="344">
        <v>0</v>
      </c>
      <c r="O169" s="345">
        <v>43370</v>
      </c>
      <c r="P169" s="345">
        <v>43370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0</v>
      </c>
      <c r="M170" s="343">
        <v>2018</v>
      </c>
      <c r="N170" s="344">
        <v>0</v>
      </c>
      <c r="O170" s="345">
        <v>43370</v>
      </c>
      <c r="P170" s="345">
        <v>43370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1</v>
      </c>
      <c r="M171" s="343">
        <v>2019</v>
      </c>
      <c r="N171" s="344">
        <v>0</v>
      </c>
      <c r="O171" s="345">
        <v>43370</v>
      </c>
      <c r="P171" s="345">
        <v>43370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7</v>
      </c>
      <c r="M172" s="343">
        <v>2025</v>
      </c>
      <c r="N172" s="344">
        <v>0</v>
      </c>
      <c r="O172" s="345">
        <v>43370</v>
      </c>
      <c r="P172" s="345">
        <v>43370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4</v>
      </c>
      <c r="M173" s="343">
        <v>2022</v>
      </c>
      <c r="N173" s="344">
        <v>0</v>
      </c>
      <c r="O173" s="345">
        <v>43370</v>
      </c>
      <c r="P173" s="345">
        <v>43370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5</v>
      </c>
      <c r="M174" s="343">
        <v>2023</v>
      </c>
      <c r="N174" s="344">
        <v>0</v>
      </c>
      <c r="O174" s="345">
        <v>43370</v>
      </c>
      <c r="P174" s="345">
        <v>43370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2</v>
      </c>
      <c r="M175" s="343">
        <v>2020</v>
      </c>
      <c r="N175" s="344">
        <v>24300</v>
      </c>
      <c r="O175" s="345">
        <v>43370</v>
      </c>
      <c r="P175" s="345">
        <v>43370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3</v>
      </c>
      <c r="M176" s="343">
        <v>2021</v>
      </c>
      <c r="N176" s="344">
        <v>0</v>
      </c>
      <c r="O176" s="345">
        <v>43370</v>
      </c>
      <c r="P176" s="345">
        <v>43370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2025</v>
      </c>
      <c r="N177" s="344">
        <v>0</v>
      </c>
      <c r="O177" s="345">
        <v>43370</v>
      </c>
      <c r="P177" s="345">
        <v>43370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0</v>
      </c>
      <c r="M178" s="343">
        <v>2018</v>
      </c>
      <c r="N178" s="344">
        <v>122546.33</v>
      </c>
      <c r="O178" s="345">
        <v>43370</v>
      </c>
      <c r="P178" s="345">
        <v>43370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8</v>
      </c>
      <c r="M179" s="343">
        <v>2026</v>
      </c>
      <c r="N179" s="344">
        <v>0</v>
      </c>
      <c r="O179" s="345">
        <v>43370</v>
      </c>
      <c r="P179" s="345">
        <v>43370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4</v>
      </c>
      <c r="M180" s="343">
        <v>2022</v>
      </c>
      <c r="N180" s="344">
        <v>0</v>
      </c>
      <c r="O180" s="345">
        <v>43370</v>
      </c>
      <c r="P180" s="345">
        <v>43370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2024</v>
      </c>
      <c r="N181" s="344">
        <v>0</v>
      </c>
      <c r="O181" s="345">
        <v>43370</v>
      </c>
      <c r="P181" s="345">
        <v>43370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5</v>
      </c>
      <c r="M182" s="343">
        <v>2023</v>
      </c>
      <c r="N182" s="344">
        <v>0</v>
      </c>
      <c r="O182" s="345">
        <v>43370</v>
      </c>
      <c r="P182" s="345">
        <v>43370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1</v>
      </c>
      <c r="M183" s="343">
        <v>2019</v>
      </c>
      <c r="N183" s="344">
        <v>176083.64</v>
      </c>
      <c r="O183" s="345">
        <v>43370</v>
      </c>
      <c r="P183" s="345">
        <v>43370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1</v>
      </c>
      <c r="M184" s="343">
        <v>2019</v>
      </c>
      <c r="N184" s="344">
        <v>41500000</v>
      </c>
      <c r="O184" s="345">
        <v>43370</v>
      </c>
      <c r="P184" s="345">
        <v>43370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6</v>
      </c>
      <c r="M185" s="343">
        <v>2024</v>
      </c>
      <c r="N185" s="344">
        <v>44000000</v>
      </c>
      <c r="O185" s="345">
        <v>43370</v>
      </c>
      <c r="P185" s="345">
        <v>43370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8</v>
      </c>
      <c r="M186" s="343">
        <v>2026</v>
      </c>
      <c r="N186" s="344">
        <v>45000000</v>
      </c>
      <c r="O186" s="345">
        <v>43370</v>
      </c>
      <c r="P186" s="345">
        <v>43370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3</v>
      </c>
      <c r="M187" s="343">
        <v>2021</v>
      </c>
      <c r="N187" s="344">
        <v>42500000</v>
      </c>
      <c r="O187" s="345">
        <v>43370</v>
      </c>
      <c r="P187" s="345">
        <v>43370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4</v>
      </c>
      <c r="M188" s="343">
        <v>2022</v>
      </c>
      <c r="N188" s="344">
        <v>43000000</v>
      </c>
      <c r="O188" s="345">
        <v>43370</v>
      </c>
      <c r="P188" s="345">
        <v>43370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0</v>
      </c>
      <c r="M189" s="343">
        <v>2018</v>
      </c>
      <c r="N189" s="344">
        <v>42400802.54</v>
      </c>
      <c r="O189" s="345">
        <v>43370</v>
      </c>
      <c r="P189" s="345">
        <v>43370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7</v>
      </c>
      <c r="M190" s="343">
        <v>2025</v>
      </c>
      <c r="N190" s="344">
        <v>44500000</v>
      </c>
      <c r="O190" s="345">
        <v>43370</v>
      </c>
      <c r="P190" s="345">
        <v>43370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5</v>
      </c>
      <c r="M191" s="343">
        <v>2023</v>
      </c>
      <c r="N191" s="344">
        <v>43500000</v>
      </c>
      <c r="O191" s="345">
        <v>43370</v>
      </c>
      <c r="P191" s="345">
        <v>43370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2</v>
      </c>
      <c r="M192" s="343">
        <v>2020</v>
      </c>
      <c r="N192" s="344">
        <v>42000000</v>
      </c>
      <c r="O192" s="345">
        <v>43370</v>
      </c>
      <c r="P192" s="345">
        <v>43370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7</v>
      </c>
      <c r="M193" s="343">
        <v>2025</v>
      </c>
      <c r="N193" s="344">
        <v>0</v>
      </c>
      <c r="O193" s="345">
        <v>43370</v>
      </c>
      <c r="P193" s="345">
        <v>43370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2</v>
      </c>
      <c r="M194" s="343">
        <v>2020</v>
      </c>
      <c r="N194" s="344">
        <v>0</v>
      </c>
      <c r="O194" s="345">
        <v>43370</v>
      </c>
      <c r="P194" s="345">
        <v>43370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5</v>
      </c>
      <c r="M195" s="343">
        <v>2023</v>
      </c>
      <c r="N195" s="344">
        <v>0</v>
      </c>
      <c r="O195" s="345">
        <v>43370</v>
      </c>
      <c r="P195" s="345">
        <v>43370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1</v>
      </c>
      <c r="M196" s="343">
        <v>2019</v>
      </c>
      <c r="N196" s="344">
        <v>0</v>
      </c>
      <c r="O196" s="345">
        <v>43370</v>
      </c>
      <c r="P196" s="345">
        <v>43370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8</v>
      </c>
      <c r="M197" s="343">
        <v>2026</v>
      </c>
      <c r="N197" s="344">
        <v>0</v>
      </c>
      <c r="O197" s="345">
        <v>43370</v>
      </c>
      <c r="P197" s="345">
        <v>43370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0</v>
      </c>
      <c r="M198" s="343">
        <v>2018</v>
      </c>
      <c r="N198" s="344">
        <v>0</v>
      </c>
      <c r="O198" s="345">
        <v>43370</v>
      </c>
      <c r="P198" s="345">
        <v>43370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6</v>
      </c>
      <c r="M199" s="343">
        <v>2024</v>
      </c>
      <c r="N199" s="344">
        <v>0</v>
      </c>
      <c r="O199" s="345">
        <v>43370</v>
      </c>
      <c r="P199" s="345">
        <v>43370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4</v>
      </c>
      <c r="M200" s="343">
        <v>2022</v>
      </c>
      <c r="N200" s="344">
        <v>0</v>
      </c>
      <c r="O200" s="345">
        <v>43370</v>
      </c>
      <c r="P200" s="345">
        <v>43370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3</v>
      </c>
      <c r="M201" s="343">
        <v>2021</v>
      </c>
      <c r="N201" s="344">
        <v>0</v>
      </c>
      <c r="O201" s="345">
        <v>43370</v>
      </c>
      <c r="P201" s="345">
        <v>43370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7</v>
      </c>
      <c r="M202" s="343">
        <v>2025</v>
      </c>
      <c r="N202" s="344">
        <v>0</v>
      </c>
      <c r="O202" s="345">
        <v>43370</v>
      </c>
      <c r="P202" s="345">
        <v>43370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2</v>
      </c>
      <c r="M203" s="343">
        <v>2020</v>
      </c>
      <c r="N203" s="344">
        <v>0</v>
      </c>
      <c r="O203" s="345">
        <v>43370</v>
      </c>
      <c r="P203" s="345">
        <v>43370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1</v>
      </c>
      <c r="M204" s="343">
        <v>2019</v>
      </c>
      <c r="N204" s="344">
        <v>0</v>
      </c>
      <c r="O204" s="345">
        <v>43370</v>
      </c>
      <c r="P204" s="345">
        <v>43370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6</v>
      </c>
      <c r="M205" s="343">
        <v>2024</v>
      </c>
      <c r="N205" s="344">
        <v>0</v>
      </c>
      <c r="O205" s="345">
        <v>43370</v>
      </c>
      <c r="P205" s="345">
        <v>43370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2021</v>
      </c>
      <c r="N206" s="344">
        <v>0</v>
      </c>
      <c r="O206" s="345">
        <v>43370</v>
      </c>
      <c r="P206" s="345">
        <v>43370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8</v>
      </c>
      <c r="M207" s="343">
        <v>2026</v>
      </c>
      <c r="N207" s="344">
        <v>0</v>
      </c>
      <c r="O207" s="345">
        <v>43370</v>
      </c>
      <c r="P207" s="345">
        <v>43370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0</v>
      </c>
      <c r="M208" s="343">
        <v>2018</v>
      </c>
      <c r="N208" s="344">
        <v>1183711.64</v>
      </c>
      <c r="O208" s="345">
        <v>43370</v>
      </c>
      <c r="P208" s="345">
        <v>43370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5</v>
      </c>
      <c r="M209" s="343">
        <v>2023</v>
      </c>
      <c r="N209" s="344">
        <v>0</v>
      </c>
      <c r="O209" s="345">
        <v>43370</v>
      </c>
      <c r="P209" s="345">
        <v>43370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2022</v>
      </c>
      <c r="N210" s="344">
        <v>0</v>
      </c>
      <c r="O210" s="345">
        <v>43370</v>
      </c>
      <c r="P210" s="345">
        <v>43370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6</v>
      </c>
      <c r="M211" s="343">
        <v>2024</v>
      </c>
      <c r="N211" s="344">
        <v>0</v>
      </c>
      <c r="O211" s="345">
        <v>43370</v>
      </c>
      <c r="P211" s="345">
        <v>43370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7</v>
      </c>
      <c r="M212" s="343">
        <v>2025</v>
      </c>
      <c r="N212" s="344">
        <v>0</v>
      </c>
      <c r="O212" s="345">
        <v>43370</v>
      </c>
      <c r="P212" s="345">
        <v>43370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5</v>
      </c>
      <c r="M213" s="343">
        <v>2023</v>
      </c>
      <c r="N213" s="344">
        <v>0</v>
      </c>
      <c r="O213" s="345">
        <v>43370</v>
      </c>
      <c r="P213" s="345">
        <v>43370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2019</v>
      </c>
      <c r="N214" s="344">
        <v>0</v>
      </c>
      <c r="O214" s="345">
        <v>43370</v>
      </c>
      <c r="P214" s="345">
        <v>43370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2021</v>
      </c>
      <c r="N215" s="344">
        <v>0</v>
      </c>
      <c r="O215" s="345">
        <v>43370</v>
      </c>
      <c r="P215" s="345">
        <v>43370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4</v>
      </c>
      <c r="M216" s="343">
        <v>2022</v>
      </c>
      <c r="N216" s="344">
        <v>0</v>
      </c>
      <c r="O216" s="345">
        <v>43370</v>
      </c>
      <c r="P216" s="345">
        <v>43370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0</v>
      </c>
      <c r="M217" s="343">
        <v>2018</v>
      </c>
      <c r="N217" s="344">
        <v>0</v>
      </c>
      <c r="O217" s="345">
        <v>43370</v>
      </c>
      <c r="P217" s="345">
        <v>43370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2</v>
      </c>
      <c r="M218" s="343">
        <v>2020</v>
      </c>
      <c r="N218" s="344">
        <v>0</v>
      </c>
      <c r="O218" s="345">
        <v>43370</v>
      </c>
      <c r="P218" s="345">
        <v>43370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8</v>
      </c>
      <c r="M219" s="343">
        <v>2026</v>
      </c>
      <c r="N219" s="344">
        <v>0</v>
      </c>
      <c r="O219" s="345">
        <v>43370</v>
      </c>
      <c r="P219" s="345">
        <v>43370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6</v>
      </c>
      <c r="M220" s="343">
        <v>2024</v>
      </c>
      <c r="N220" s="344">
        <v>0</v>
      </c>
      <c r="O220" s="345">
        <v>43370</v>
      </c>
      <c r="P220" s="345">
        <v>43370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3</v>
      </c>
      <c r="M221" s="343">
        <v>2021</v>
      </c>
      <c r="N221" s="344">
        <v>0</v>
      </c>
      <c r="O221" s="345">
        <v>43370</v>
      </c>
      <c r="P221" s="345">
        <v>43370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2</v>
      </c>
      <c r="M222" s="343">
        <v>2020</v>
      </c>
      <c r="N222" s="344">
        <v>0</v>
      </c>
      <c r="O222" s="345">
        <v>43370</v>
      </c>
      <c r="P222" s="345">
        <v>43370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5</v>
      </c>
      <c r="M223" s="343">
        <v>2023</v>
      </c>
      <c r="N223" s="344">
        <v>0</v>
      </c>
      <c r="O223" s="345">
        <v>43370</v>
      </c>
      <c r="P223" s="345">
        <v>43370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1</v>
      </c>
      <c r="M224" s="343">
        <v>2019</v>
      </c>
      <c r="N224" s="344">
        <v>0</v>
      </c>
      <c r="O224" s="345">
        <v>43370</v>
      </c>
      <c r="P224" s="345">
        <v>43370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8</v>
      </c>
      <c r="M225" s="343">
        <v>2026</v>
      </c>
      <c r="N225" s="344">
        <v>0</v>
      </c>
      <c r="O225" s="345">
        <v>43370</v>
      </c>
      <c r="P225" s="345">
        <v>43370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2018</v>
      </c>
      <c r="N226" s="344">
        <v>0</v>
      </c>
      <c r="O226" s="345">
        <v>43370</v>
      </c>
      <c r="P226" s="345">
        <v>43370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4</v>
      </c>
      <c r="M227" s="343">
        <v>2022</v>
      </c>
      <c r="N227" s="344">
        <v>0</v>
      </c>
      <c r="O227" s="345">
        <v>43370</v>
      </c>
      <c r="P227" s="345">
        <v>43370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7</v>
      </c>
      <c r="M228" s="343">
        <v>2025</v>
      </c>
      <c r="N228" s="344">
        <v>0</v>
      </c>
      <c r="O228" s="345">
        <v>43370</v>
      </c>
      <c r="P228" s="345">
        <v>43370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0</v>
      </c>
      <c r="M229" s="343">
        <v>2018</v>
      </c>
      <c r="N229" s="344">
        <v>0</v>
      </c>
      <c r="O229" s="345">
        <v>43370</v>
      </c>
      <c r="P229" s="345">
        <v>43370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4</v>
      </c>
      <c r="M230" s="343">
        <v>2022</v>
      </c>
      <c r="N230" s="344">
        <v>0</v>
      </c>
      <c r="O230" s="345">
        <v>43370</v>
      </c>
      <c r="P230" s="345">
        <v>43370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1</v>
      </c>
      <c r="M231" s="343">
        <v>2019</v>
      </c>
      <c r="N231" s="344">
        <v>0</v>
      </c>
      <c r="O231" s="345">
        <v>43370</v>
      </c>
      <c r="P231" s="345">
        <v>43370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2023</v>
      </c>
      <c r="N232" s="344">
        <v>0</v>
      </c>
      <c r="O232" s="345">
        <v>43370</v>
      </c>
      <c r="P232" s="345">
        <v>43370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2026</v>
      </c>
      <c r="N233" s="344">
        <v>0</v>
      </c>
      <c r="O233" s="345">
        <v>43370</v>
      </c>
      <c r="P233" s="345">
        <v>43370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2</v>
      </c>
      <c r="M234" s="343">
        <v>2020</v>
      </c>
      <c r="N234" s="344">
        <v>0</v>
      </c>
      <c r="O234" s="345">
        <v>43370</v>
      </c>
      <c r="P234" s="345">
        <v>43370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6</v>
      </c>
      <c r="M235" s="343">
        <v>2024</v>
      </c>
      <c r="N235" s="344">
        <v>0</v>
      </c>
      <c r="O235" s="345">
        <v>43370</v>
      </c>
      <c r="P235" s="345">
        <v>43370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3</v>
      </c>
      <c r="M236" s="343">
        <v>2021</v>
      </c>
      <c r="N236" s="344">
        <v>0</v>
      </c>
      <c r="O236" s="345">
        <v>43370</v>
      </c>
      <c r="P236" s="345">
        <v>43370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7</v>
      </c>
      <c r="M237" s="343">
        <v>2025</v>
      </c>
      <c r="N237" s="344">
        <v>0</v>
      </c>
      <c r="O237" s="345">
        <v>43370</v>
      </c>
      <c r="P237" s="345">
        <v>43370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2</v>
      </c>
      <c r="M238" s="343">
        <v>2020</v>
      </c>
      <c r="N238" s="344">
        <v>0</v>
      </c>
      <c r="O238" s="345">
        <v>43370</v>
      </c>
      <c r="P238" s="345">
        <v>43370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3</v>
      </c>
      <c r="M239" s="343">
        <v>2021</v>
      </c>
      <c r="N239" s="344">
        <v>0</v>
      </c>
      <c r="O239" s="345">
        <v>43370</v>
      </c>
      <c r="P239" s="345">
        <v>43370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1</v>
      </c>
      <c r="M240" s="343">
        <v>2019</v>
      </c>
      <c r="N240" s="344">
        <v>0</v>
      </c>
      <c r="O240" s="345">
        <v>43370</v>
      </c>
      <c r="P240" s="345">
        <v>43370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2022</v>
      </c>
      <c r="N241" s="344">
        <v>0</v>
      </c>
      <c r="O241" s="345">
        <v>43370</v>
      </c>
      <c r="P241" s="345">
        <v>43370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5</v>
      </c>
      <c r="M242" s="343">
        <v>2023</v>
      </c>
      <c r="N242" s="344">
        <v>0</v>
      </c>
      <c r="O242" s="345">
        <v>43370</v>
      </c>
      <c r="P242" s="345">
        <v>43370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2024</v>
      </c>
      <c r="N243" s="344">
        <v>0</v>
      </c>
      <c r="O243" s="345">
        <v>43370</v>
      </c>
      <c r="P243" s="345">
        <v>43370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2026</v>
      </c>
      <c r="N244" s="344">
        <v>0</v>
      </c>
      <c r="O244" s="345">
        <v>43370</v>
      </c>
      <c r="P244" s="345">
        <v>43370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7</v>
      </c>
      <c r="M245" s="343">
        <v>2025</v>
      </c>
      <c r="N245" s="344">
        <v>0</v>
      </c>
      <c r="O245" s="345">
        <v>43370</v>
      </c>
      <c r="P245" s="345">
        <v>43370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0</v>
      </c>
      <c r="M246" s="343">
        <v>2018</v>
      </c>
      <c r="N246" s="344">
        <v>0</v>
      </c>
      <c r="O246" s="345">
        <v>43370</v>
      </c>
      <c r="P246" s="345">
        <v>43370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2</v>
      </c>
      <c r="M247" s="343">
        <v>2020</v>
      </c>
      <c r="N247" s="344">
        <v>2210004</v>
      </c>
      <c r="O247" s="345">
        <v>43370</v>
      </c>
      <c r="P247" s="345">
        <v>43370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3</v>
      </c>
      <c r="M248" s="343">
        <v>2021</v>
      </c>
      <c r="N248" s="344">
        <v>2210004</v>
      </c>
      <c r="O248" s="345">
        <v>43370</v>
      </c>
      <c r="P248" s="345">
        <v>43370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1</v>
      </c>
      <c r="M249" s="343">
        <v>2019</v>
      </c>
      <c r="N249" s="344">
        <v>1860004</v>
      </c>
      <c r="O249" s="345">
        <v>43370</v>
      </c>
      <c r="P249" s="345">
        <v>43370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7</v>
      </c>
      <c r="M250" s="343">
        <v>2025</v>
      </c>
      <c r="N250" s="344">
        <v>1000000</v>
      </c>
      <c r="O250" s="345">
        <v>43370</v>
      </c>
      <c r="P250" s="345">
        <v>43370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8</v>
      </c>
      <c r="M251" s="343">
        <v>2026</v>
      </c>
      <c r="N251" s="344">
        <v>531933.73</v>
      </c>
      <c r="O251" s="345">
        <v>43370</v>
      </c>
      <c r="P251" s="345">
        <v>43370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6</v>
      </c>
      <c r="M252" s="343">
        <v>2024</v>
      </c>
      <c r="N252" s="344">
        <v>1250000</v>
      </c>
      <c r="O252" s="345">
        <v>43370</v>
      </c>
      <c r="P252" s="345">
        <v>43370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4</v>
      </c>
      <c r="M253" s="343">
        <v>2022</v>
      </c>
      <c r="N253" s="344">
        <v>2250004</v>
      </c>
      <c r="O253" s="345">
        <v>43370</v>
      </c>
      <c r="P253" s="345">
        <v>43370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0</v>
      </c>
      <c r="M254" s="343">
        <v>2018</v>
      </c>
      <c r="N254" s="344">
        <v>0</v>
      </c>
      <c r="O254" s="345">
        <v>43370</v>
      </c>
      <c r="P254" s="345">
        <v>43370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5</v>
      </c>
      <c r="M255" s="343">
        <v>2023</v>
      </c>
      <c r="N255" s="344">
        <v>2418000</v>
      </c>
      <c r="O255" s="345">
        <v>43370</v>
      </c>
      <c r="P255" s="345">
        <v>43370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6</v>
      </c>
      <c r="M256" s="343">
        <v>2024</v>
      </c>
      <c r="N256" s="344">
        <v>0</v>
      </c>
      <c r="O256" s="345">
        <v>43370</v>
      </c>
      <c r="P256" s="345">
        <v>43370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4</v>
      </c>
      <c r="M257" s="343">
        <v>2022</v>
      </c>
      <c r="N257" s="344">
        <v>0</v>
      </c>
      <c r="O257" s="345">
        <v>43370</v>
      </c>
      <c r="P257" s="345">
        <v>43370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0</v>
      </c>
      <c r="M258" s="343">
        <v>2018</v>
      </c>
      <c r="N258" s="344">
        <v>91600.46</v>
      </c>
      <c r="O258" s="345">
        <v>43370</v>
      </c>
      <c r="P258" s="345">
        <v>43370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8</v>
      </c>
      <c r="M259" s="343">
        <v>2026</v>
      </c>
      <c r="N259" s="344">
        <v>0</v>
      </c>
      <c r="O259" s="345">
        <v>43370</v>
      </c>
      <c r="P259" s="345">
        <v>43370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3</v>
      </c>
      <c r="M260" s="343">
        <v>2021</v>
      </c>
      <c r="N260" s="344">
        <v>0</v>
      </c>
      <c r="O260" s="345">
        <v>43370</v>
      </c>
      <c r="P260" s="345">
        <v>43370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1</v>
      </c>
      <c r="M261" s="343">
        <v>2019</v>
      </c>
      <c r="N261" s="344">
        <v>51843.64</v>
      </c>
      <c r="O261" s="345">
        <v>43370</v>
      </c>
      <c r="P261" s="345">
        <v>43370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5</v>
      </c>
      <c r="M262" s="343">
        <v>2023</v>
      </c>
      <c r="N262" s="344">
        <v>0</v>
      </c>
      <c r="O262" s="345">
        <v>43370</v>
      </c>
      <c r="P262" s="345">
        <v>43370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2025</v>
      </c>
      <c r="N263" s="344">
        <v>0</v>
      </c>
      <c r="O263" s="345">
        <v>43370</v>
      </c>
      <c r="P263" s="345">
        <v>43370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2</v>
      </c>
      <c r="M264" s="343">
        <v>2020</v>
      </c>
      <c r="N264" s="344">
        <v>14960</v>
      </c>
      <c r="O264" s="345">
        <v>43370</v>
      </c>
      <c r="P264" s="345">
        <v>43370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8</v>
      </c>
      <c r="M265" s="343">
        <v>2026</v>
      </c>
      <c r="N265" s="344">
        <v>0</v>
      </c>
      <c r="O265" s="345">
        <v>43370</v>
      </c>
      <c r="P265" s="345">
        <v>43370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4</v>
      </c>
      <c r="M266" s="343">
        <v>2022</v>
      </c>
      <c r="N266" s="344">
        <v>0</v>
      </c>
      <c r="O266" s="345">
        <v>43370</v>
      </c>
      <c r="P266" s="345">
        <v>43370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2</v>
      </c>
      <c r="M267" s="343">
        <v>2020</v>
      </c>
      <c r="N267" s="344">
        <v>0</v>
      </c>
      <c r="O267" s="345">
        <v>43370</v>
      </c>
      <c r="P267" s="345">
        <v>43370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0</v>
      </c>
      <c r="M268" s="343">
        <v>2018</v>
      </c>
      <c r="N268" s="344">
        <v>0</v>
      </c>
      <c r="O268" s="345">
        <v>43370</v>
      </c>
      <c r="P268" s="345">
        <v>43370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6</v>
      </c>
      <c r="M269" s="343">
        <v>2024</v>
      </c>
      <c r="N269" s="344">
        <v>0</v>
      </c>
      <c r="O269" s="345">
        <v>43370</v>
      </c>
      <c r="P269" s="345">
        <v>43370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2025</v>
      </c>
      <c r="N270" s="344">
        <v>0</v>
      </c>
      <c r="O270" s="345">
        <v>43370</v>
      </c>
      <c r="P270" s="345">
        <v>43370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1</v>
      </c>
      <c r="M271" s="343">
        <v>2019</v>
      </c>
      <c r="N271" s="344">
        <v>0</v>
      </c>
      <c r="O271" s="345">
        <v>43370</v>
      </c>
      <c r="P271" s="345">
        <v>43370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3</v>
      </c>
      <c r="M272" s="343">
        <v>2021</v>
      </c>
      <c r="N272" s="344">
        <v>0</v>
      </c>
      <c r="O272" s="345">
        <v>43370</v>
      </c>
      <c r="P272" s="345">
        <v>43370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2023</v>
      </c>
      <c r="N273" s="344">
        <v>0</v>
      </c>
      <c r="O273" s="345">
        <v>43370</v>
      </c>
      <c r="P273" s="345">
        <v>43370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0</v>
      </c>
      <c r="M274" s="343">
        <v>2018</v>
      </c>
      <c r="N274" s="344">
        <v>0</v>
      </c>
      <c r="O274" s="345">
        <v>43370</v>
      </c>
      <c r="P274" s="345">
        <v>43370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3</v>
      </c>
      <c r="M275" s="343">
        <v>2021</v>
      </c>
      <c r="N275" s="344">
        <v>0</v>
      </c>
      <c r="O275" s="345">
        <v>43370</v>
      </c>
      <c r="P275" s="345">
        <v>43370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4</v>
      </c>
      <c r="M276" s="343">
        <v>2022</v>
      </c>
      <c r="N276" s="344">
        <v>0</v>
      </c>
      <c r="O276" s="345">
        <v>43370</v>
      </c>
      <c r="P276" s="345">
        <v>43370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7</v>
      </c>
      <c r="M277" s="343">
        <v>2025</v>
      </c>
      <c r="N277" s="344">
        <v>0</v>
      </c>
      <c r="O277" s="345">
        <v>43370</v>
      </c>
      <c r="P277" s="345">
        <v>43370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2023</v>
      </c>
      <c r="N278" s="344">
        <v>0</v>
      </c>
      <c r="O278" s="345">
        <v>43370</v>
      </c>
      <c r="P278" s="345">
        <v>43370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2020</v>
      </c>
      <c r="N279" s="344">
        <v>0</v>
      </c>
      <c r="O279" s="345">
        <v>43370</v>
      </c>
      <c r="P279" s="345">
        <v>43370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1</v>
      </c>
      <c r="M280" s="343">
        <v>2019</v>
      </c>
      <c r="N280" s="344">
        <v>0</v>
      </c>
      <c r="O280" s="345">
        <v>43370</v>
      </c>
      <c r="P280" s="345">
        <v>43370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8</v>
      </c>
      <c r="M281" s="343">
        <v>2026</v>
      </c>
      <c r="N281" s="344">
        <v>0</v>
      </c>
      <c r="O281" s="345">
        <v>43370</v>
      </c>
      <c r="P281" s="345">
        <v>43370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2024</v>
      </c>
      <c r="N282" s="344">
        <v>0</v>
      </c>
      <c r="O282" s="345">
        <v>43370</v>
      </c>
      <c r="P282" s="345">
        <v>43370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5</v>
      </c>
      <c r="M283" s="343">
        <v>2023</v>
      </c>
      <c r="N283" s="344">
        <v>0</v>
      </c>
      <c r="O283" s="345">
        <v>43370</v>
      </c>
      <c r="P283" s="345">
        <v>43370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4</v>
      </c>
      <c r="M284" s="343">
        <v>2022</v>
      </c>
      <c r="N284" s="344">
        <v>0</v>
      </c>
      <c r="O284" s="345">
        <v>43370</v>
      </c>
      <c r="P284" s="345">
        <v>43370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8</v>
      </c>
      <c r="M285" s="343">
        <v>2026</v>
      </c>
      <c r="N285" s="344">
        <v>0</v>
      </c>
      <c r="O285" s="345">
        <v>43370</v>
      </c>
      <c r="P285" s="345">
        <v>43370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3</v>
      </c>
      <c r="M286" s="343">
        <v>2021</v>
      </c>
      <c r="N286" s="344">
        <v>0</v>
      </c>
      <c r="O286" s="345">
        <v>43370</v>
      </c>
      <c r="P286" s="345">
        <v>43370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2</v>
      </c>
      <c r="M287" s="343">
        <v>2020</v>
      </c>
      <c r="N287" s="344">
        <v>0</v>
      </c>
      <c r="O287" s="345">
        <v>43370</v>
      </c>
      <c r="P287" s="345">
        <v>43370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1</v>
      </c>
      <c r="M288" s="343">
        <v>2019</v>
      </c>
      <c r="N288" s="344">
        <v>0</v>
      </c>
      <c r="O288" s="345">
        <v>43370</v>
      </c>
      <c r="P288" s="345">
        <v>43370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0</v>
      </c>
      <c r="M289" s="343">
        <v>2018</v>
      </c>
      <c r="N289" s="344">
        <v>0</v>
      </c>
      <c r="O289" s="345">
        <v>43370</v>
      </c>
      <c r="P289" s="345">
        <v>43370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6</v>
      </c>
      <c r="M290" s="343">
        <v>2024</v>
      </c>
      <c r="N290" s="344">
        <v>0</v>
      </c>
      <c r="O290" s="345">
        <v>43370</v>
      </c>
      <c r="P290" s="345">
        <v>43370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7</v>
      </c>
      <c r="M291" s="343">
        <v>2025</v>
      </c>
      <c r="N291" s="344">
        <v>0</v>
      </c>
      <c r="O291" s="345">
        <v>43370</v>
      </c>
      <c r="P291" s="345">
        <v>43370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6</v>
      </c>
      <c r="M292" s="343">
        <v>2024</v>
      </c>
      <c r="N292" s="344">
        <v>0</v>
      </c>
      <c r="O292" s="345">
        <v>43370</v>
      </c>
      <c r="P292" s="345">
        <v>43370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7</v>
      </c>
      <c r="M293" s="343">
        <v>2025</v>
      </c>
      <c r="N293" s="344">
        <v>0</v>
      </c>
      <c r="O293" s="345">
        <v>43370</v>
      </c>
      <c r="P293" s="345">
        <v>43370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1</v>
      </c>
      <c r="M294" s="343">
        <v>2019</v>
      </c>
      <c r="N294" s="344">
        <v>0</v>
      </c>
      <c r="O294" s="345">
        <v>43370</v>
      </c>
      <c r="P294" s="345">
        <v>43370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2018</v>
      </c>
      <c r="N295" s="344">
        <v>2997706.62</v>
      </c>
      <c r="O295" s="345">
        <v>43370</v>
      </c>
      <c r="P295" s="345">
        <v>43370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3</v>
      </c>
      <c r="M296" s="343">
        <v>2021</v>
      </c>
      <c r="N296" s="344">
        <v>0</v>
      </c>
      <c r="O296" s="345">
        <v>43370</v>
      </c>
      <c r="P296" s="345">
        <v>43370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4</v>
      </c>
      <c r="M297" s="343">
        <v>2022</v>
      </c>
      <c r="N297" s="344">
        <v>0</v>
      </c>
      <c r="O297" s="345">
        <v>43370</v>
      </c>
      <c r="P297" s="345">
        <v>43370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2</v>
      </c>
      <c r="M298" s="343">
        <v>2020</v>
      </c>
      <c r="N298" s="344">
        <v>0</v>
      </c>
      <c r="O298" s="345">
        <v>43370</v>
      </c>
      <c r="P298" s="345">
        <v>43370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5</v>
      </c>
      <c r="M299" s="343">
        <v>2023</v>
      </c>
      <c r="N299" s="344">
        <v>0</v>
      </c>
      <c r="O299" s="345">
        <v>43370</v>
      </c>
      <c r="P299" s="345">
        <v>43370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8</v>
      </c>
      <c r="M300" s="343">
        <v>2026</v>
      </c>
      <c r="N300" s="344">
        <v>0</v>
      </c>
      <c r="O300" s="345">
        <v>43370</v>
      </c>
      <c r="P300" s="345">
        <v>43370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7</v>
      </c>
      <c r="M301" s="343">
        <v>2025</v>
      </c>
      <c r="N301" s="344">
        <v>0</v>
      </c>
      <c r="O301" s="345">
        <v>43370</v>
      </c>
      <c r="P301" s="345">
        <v>43370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0</v>
      </c>
      <c r="M302" s="343">
        <v>2018</v>
      </c>
      <c r="N302" s="344">
        <v>0</v>
      </c>
      <c r="O302" s="345">
        <v>43370</v>
      </c>
      <c r="P302" s="345">
        <v>43370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4</v>
      </c>
      <c r="M303" s="343">
        <v>2022</v>
      </c>
      <c r="N303" s="344">
        <v>0</v>
      </c>
      <c r="O303" s="345">
        <v>43370</v>
      </c>
      <c r="P303" s="345">
        <v>43370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5</v>
      </c>
      <c r="M304" s="343">
        <v>2023</v>
      </c>
      <c r="N304" s="344">
        <v>0</v>
      </c>
      <c r="O304" s="345">
        <v>43370</v>
      </c>
      <c r="P304" s="345">
        <v>43370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6</v>
      </c>
      <c r="M305" s="343">
        <v>2024</v>
      </c>
      <c r="N305" s="344">
        <v>0</v>
      </c>
      <c r="O305" s="345">
        <v>43370</v>
      </c>
      <c r="P305" s="345">
        <v>43370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1</v>
      </c>
      <c r="M306" s="343">
        <v>2019</v>
      </c>
      <c r="N306" s="344">
        <v>0</v>
      </c>
      <c r="O306" s="345">
        <v>43370</v>
      </c>
      <c r="P306" s="345">
        <v>43370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3</v>
      </c>
      <c r="M307" s="343">
        <v>2021</v>
      </c>
      <c r="N307" s="344">
        <v>0</v>
      </c>
      <c r="O307" s="345">
        <v>43370</v>
      </c>
      <c r="P307" s="345">
        <v>43370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2</v>
      </c>
      <c r="M308" s="343">
        <v>2020</v>
      </c>
      <c r="N308" s="344">
        <v>0</v>
      </c>
      <c r="O308" s="345">
        <v>43370</v>
      </c>
      <c r="P308" s="345">
        <v>43370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8</v>
      </c>
      <c r="M309" s="343">
        <v>2026</v>
      </c>
      <c r="N309" s="344">
        <v>0</v>
      </c>
      <c r="O309" s="345">
        <v>43370</v>
      </c>
      <c r="P309" s="345">
        <v>43370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8</v>
      </c>
      <c r="M310" s="343">
        <v>2026</v>
      </c>
      <c r="N310" s="344">
        <v>0</v>
      </c>
      <c r="O310" s="345">
        <v>43370</v>
      </c>
      <c r="P310" s="345">
        <v>43370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0</v>
      </c>
      <c r="M311" s="343">
        <v>2018</v>
      </c>
      <c r="N311" s="344">
        <v>16546962.1</v>
      </c>
      <c r="O311" s="345">
        <v>43370</v>
      </c>
      <c r="P311" s="345">
        <v>43370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3</v>
      </c>
      <c r="M312" s="343">
        <v>2021</v>
      </c>
      <c r="N312" s="344">
        <v>18000000</v>
      </c>
      <c r="O312" s="345">
        <v>43370</v>
      </c>
      <c r="P312" s="345">
        <v>43370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7</v>
      </c>
      <c r="M313" s="343">
        <v>2025</v>
      </c>
      <c r="N313" s="344">
        <v>0</v>
      </c>
      <c r="O313" s="345">
        <v>43370</v>
      </c>
      <c r="P313" s="345">
        <v>43370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2</v>
      </c>
      <c r="M314" s="343">
        <v>2020</v>
      </c>
      <c r="N314" s="344">
        <v>17500000</v>
      </c>
      <c r="O314" s="345">
        <v>43370</v>
      </c>
      <c r="P314" s="345">
        <v>43370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1</v>
      </c>
      <c r="M315" s="343">
        <v>2019</v>
      </c>
      <c r="N315" s="344">
        <v>17000000</v>
      </c>
      <c r="O315" s="345">
        <v>43370</v>
      </c>
      <c r="P315" s="345">
        <v>43370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6</v>
      </c>
      <c r="M316" s="343">
        <v>2024</v>
      </c>
      <c r="N316" s="344">
        <v>0</v>
      </c>
      <c r="O316" s="345">
        <v>43370</v>
      </c>
      <c r="P316" s="345">
        <v>43370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5</v>
      </c>
      <c r="M317" s="343">
        <v>2023</v>
      </c>
      <c r="N317" s="344">
        <v>0</v>
      </c>
      <c r="O317" s="345">
        <v>43370</v>
      </c>
      <c r="P317" s="345">
        <v>43370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4</v>
      </c>
      <c r="M318" s="343">
        <v>2022</v>
      </c>
      <c r="N318" s="344">
        <v>0</v>
      </c>
      <c r="O318" s="345">
        <v>43370</v>
      </c>
      <c r="P318" s="345">
        <v>43370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0</v>
      </c>
      <c r="M319" s="343">
        <v>2018</v>
      </c>
      <c r="N319" s="344">
        <v>0.0366</v>
      </c>
      <c r="O319" s="345">
        <v>43370</v>
      </c>
      <c r="P319" s="345">
        <v>43370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7</v>
      </c>
      <c r="M320" s="343">
        <v>2025</v>
      </c>
      <c r="N320" s="344">
        <v>0.0233</v>
      </c>
      <c r="O320" s="345">
        <v>43370</v>
      </c>
      <c r="P320" s="345">
        <v>43370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8</v>
      </c>
      <c r="M321" s="343">
        <v>2026</v>
      </c>
      <c r="N321" s="344">
        <v>0.0135</v>
      </c>
      <c r="O321" s="345">
        <v>43370</v>
      </c>
      <c r="P321" s="345">
        <v>43370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5</v>
      </c>
      <c r="M322" s="343">
        <v>2023</v>
      </c>
      <c r="N322" s="344">
        <v>0.0541</v>
      </c>
      <c r="O322" s="345">
        <v>43370</v>
      </c>
      <c r="P322" s="345">
        <v>43370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1</v>
      </c>
      <c r="M323" s="343">
        <v>2019</v>
      </c>
      <c r="N323" s="344">
        <v>0.044</v>
      </c>
      <c r="O323" s="345">
        <v>43370</v>
      </c>
      <c r="P323" s="345">
        <v>43370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6</v>
      </c>
      <c r="M324" s="343">
        <v>2024</v>
      </c>
      <c r="N324" s="344">
        <v>0.0296</v>
      </c>
      <c r="O324" s="345">
        <v>43370</v>
      </c>
      <c r="P324" s="345">
        <v>43370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2021</v>
      </c>
      <c r="N325" s="344">
        <v>0.0549</v>
      </c>
      <c r="O325" s="345">
        <v>43370</v>
      </c>
      <c r="P325" s="345">
        <v>43370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2</v>
      </c>
      <c r="M326" s="343">
        <v>2020</v>
      </c>
      <c r="N326" s="344">
        <v>0.0545</v>
      </c>
      <c r="O326" s="345">
        <v>43370</v>
      </c>
      <c r="P326" s="345">
        <v>43370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4</v>
      </c>
      <c r="M327" s="343">
        <v>2022</v>
      </c>
      <c r="N327" s="344">
        <v>0.0533</v>
      </c>
      <c r="O327" s="345">
        <v>43370</v>
      </c>
      <c r="P327" s="345">
        <v>43370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8</v>
      </c>
      <c r="M328" s="343">
        <v>2026</v>
      </c>
      <c r="N328" s="344">
        <v>0.1906</v>
      </c>
      <c r="O328" s="345">
        <v>43370</v>
      </c>
      <c r="P328" s="345">
        <v>43370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5</v>
      </c>
      <c r="M329" s="343">
        <v>2023</v>
      </c>
      <c r="N329" s="344">
        <v>0.1487</v>
      </c>
      <c r="O329" s="345">
        <v>43370</v>
      </c>
      <c r="P329" s="345">
        <v>43370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7</v>
      </c>
      <c r="M330" s="343">
        <v>2025</v>
      </c>
      <c r="N330" s="344">
        <v>0.1774</v>
      </c>
      <c r="O330" s="345">
        <v>43370</v>
      </c>
      <c r="P330" s="345">
        <v>43370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2</v>
      </c>
      <c r="M331" s="343">
        <v>2020</v>
      </c>
      <c r="N331" s="344">
        <v>0.0935</v>
      </c>
      <c r="O331" s="345">
        <v>43370</v>
      </c>
      <c r="P331" s="345">
        <v>43370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3</v>
      </c>
      <c r="M332" s="343">
        <v>2021</v>
      </c>
      <c r="N332" s="344">
        <v>0.1164</v>
      </c>
      <c r="O332" s="345">
        <v>43370</v>
      </c>
      <c r="P332" s="345">
        <v>43370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1</v>
      </c>
      <c r="M333" s="343">
        <v>2019</v>
      </c>
      <c r="N333" s="344">
        <v>0.1584</v>
      </c>
      <c r="O333" s="345">
        <v>43370</v>
      </c>
      <c r="P333" s="345">
        <v>43370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0</v>
      </c>
      <c r="M334" s="343">
        <v>2018</v>
      </c>
      <c r="N334" s="344">
        <v>0.0813</v>
      </c>
      <c r="O334" s="345">
        <v>43370</v>
      </c>
      <c r="P334" s="345">
        <v>43370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4</v>
      </c>
      <c r="M335" s="343">
        <v>2022</v>
      </c>
      <c r="N335" s="344">
        <v>0.1331</v>
      </c>
      <c r="O335" s="345">
        <v>43370</v>
      </c>
      <c r="P335" s="345">
        <v>43370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6</v>
      </c>
      <c r="M336" s="343">
        <v>2024</v>
      </c>
      <c r="N336" s="344">
        <v>0.1635</v>
      </c>
      <c r="O336" s="345">
        <v>43370</v>
      </c>
      <c r="P336" s="345">
        <v>43370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4</v>
      </c>
      <c r="M337" s="343">
        <v>2022</v>
      </c>
      <c r="N337" s="344">
        <v>0</v>
      </c>
      <c r="O337" s="345">
        <v>43370</v>
      </c>
      <c r="P337" s="345">
        <v>43370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6</v>
      </c>
      <c r="M338" s="343">
        <v>2024</v>
      </c>
      <c r="N338" s="344">
        <v>0</v>
      </c>
      <c r="O338" s="345">
        <v>43370</v>
      </c>
      <c r="P338" s="345">
        <v>43370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1</v>
      </c>
      <c r="M339" s="343">
        <v>2019</v>
      </c>
      <c r="N339" s="344">
        <v>8200000</v>
      </c>
      <c r="O339" s="345">
        <v>43370</v>
      </c>
      <c r="P339" s="345">
        <v>43370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5</v>
      </c>
      <c r="M340" s="343">
        <v>2023</v>
      </c>
      <c r="N340" s="344">
        <v>0</v>
      </c>
      <c r="O340" s="345">
        <v>43370</v>
      </c>
      <c r="P340" s="345">
        <v>43370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0</v>
      </c>
      <c r="M341" s="343">
        <v>2018</v>
      </c>
      <c r="N341" s="344">
        <v>8318275</v>
      </c>
      <c r="O341" s="345">
        <v>43370</v>
      </c>
      <c r="P341" s="345">
        <v>43370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7</v>
      </c>
      <c r="M342" s="343">
        <v>2025</v>
      </c>
      <c r="N342" s="344">
        <v>0</v>
      </c>
      <c r="O342" s="345">
        <v>43370</v>
      </c>
      <c r="P342" s="345">
        <v>43370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3</v>
      </c>
      <c r="M343" s="343">
        <v>2021</v>
      </c>
      <c r="N343" s="344">
        <v>8600000</v>
      </c>
      <c r="O343" s="345">
        <v>43370</v>
      </c>
      <c r="P343" s="345">
        <v>43370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2</v>
      </c>
      <c r="M344" s="343">
        <v>2020</v>
      </c>
      <c r="N344" s="344">
        <v>8400000</v>
      </c>
      <c r="O344" s="345">
        <v>43370</v>
      </c>
      <c r="P344" s="345">
        <v>43370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2026</v>
      </c>
      <c r="N345" s="344">
        <v>0</v>
      </c>
      <c r="O345" s="345">
        <v>43370</v>
      </c>
      <c r="P345" s="345">
        <v>43370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7</v>
      </c>
      <c r="M346" s="343">
        <v>2025</v>
      </c>
      <c r="N346" s="344">
        <v>0.1484</v>
      </c>
      <c r="O346" s="345">
        <v>43370</v>
      </c>
      <c r="P346" s="345">
        <v>43370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2</v>
      </c>
      <c r="M347" s="343">
        <v>2020</v>
      </c>
      <c r="N347" s="344">
        <v>0.0921</v>
      </c>
      <c r="O347" s="345">
        <v>43370</v>
      </c>
      <c r="P347" s="345">
        <v>43370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6</v>
      </c>
      <c r="M348" s="343">
        <v>2024</v>
      </c>
      <c r="N348" s="344">
        <v>0.1327</v>
      </c>
      <c r="O348" s="345">
        <v>43370</v>
      </c>
      <c r="P348" s="345">
        <v>43370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3</v>
      </c>
      <c r="M349" s="343">
        <v>2021</v>
      </c>
      <c r="N349" s="344">
        <v>0.1111</v>
      </c>
      <c r="O349" s="345">
        <v>43370</v>
      </c>
      <c r="P349" s="345">
        <v>43370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2023</v>
      </c>
      <c r="N350" s="344">
        <v>0.1143</v>
      </c>
      <c r="O350" s="345">
        <v>43370</v>
      </c>
      <c r="P350" s="345">
        <v>43370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2022</v>
      </c>
      <c r="N351" s="344">
        <v>0.1228</v>
      </c>
      <c r="O351" s="345">
        <v>43370</v>
      </c>
      <c r="P351" s="345">
        <v>43370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8</v>
      </c>
      <c r="M352" s="343">
        <v>2026</v>
      </c>
      <c r="N352" s="344">
        <v>0.1632</v>
      </c>
      <c r="O352" s="345">
        <v>43370</v>
      </c>
      <c r="P352" s="345">
        <v>43370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0</v>
      </c>
      <c r="M353" s="343">
        <v>2018</v>
      </c>
      <c r="N353" s="344">
        <v>0.0619</v>
      </c>
      <c r="O353" s="345">
        <v>43370</v>
      </c>
      <c r="P353" s="345">
        <v>43370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1</v>
      </c>
      <c r="M354" s="343">
        <v>2019</v>
      </c>
      <c r="N354" s="344">
        <v>0.065</v>
      </c>
      <c r="O354" s="345">
        <v>43370</v>
      </c>
      <c r="P354" s="345">
        <v>43370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6</v>
      </c>
      <c r="M355" s="343">
        <v>2024</v>
      </c>
      <c r="N355" s="344">
        <v>52600000</v>
      </c>
      <c r="O355" s="345">
        <v>43370</v>
      </c>
      <c r="P355" s="345">
        <v>43370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1</v>
      </c>
      <c r="M356" s="343">
        <v>2019</v>
      </c>
      <c r="N356" s="344">
        <v>45100000</v>
      </c>
      <c r="O356" s="345">
        <v>43370</v>
      </c>
      <c r="P356" s="345">
        <v>43370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4</v>
      </c>
      <c r="M357" s="343">
        <v>2022</v>
      </c>
      <c r="N357" s="344">
        <v>49600000</v>
      </c>
      <c r="O357" s="345">
        <v>43370</v>
      </c>
      <c r="P357" s="345">
        <v>43370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8</v>
      </c>
      <c r="M358" s="343">
        <v>2026</v>
      </c>
      <c r="N358" s="344">
        <v>55600000</v>
      </c>
      <c r="O358" s="345">
        <v>43370</v>
      </c>
      <c r="P358" s="345">
        <v>43370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7</v>
      </c>
      <c r="M359" s="343">
        <v>2025</v>
      </c>
      <c r="N359" s="344">
        <v>54100000</v>
      </c>
      <c r="O359" s="345">
        <v>43370</v>
      </c>
      <c r="P359" s="345">
        <v>43370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0</v>
      </c>
      <c r="M360" s="343">
        <v>2018</v>
      </c>
      <c r="N360" s="344">
        <v>45511699.06</v>
      </c>
      <c r="O360" s="345">
        <v>43370</v>
      </c>
      <c r="P360" s="345">
        <v>43370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5</v>
      </c>
      <c r="M361" s="343">
        <v>2023</v>
      </c>
      <c r="N361" s="344">
        <v>51100000</v>
      </c>
      <c r="O361" s="345">
        <v>43370</v>
      </c>
      <c r="P361" s="345">
        <v>43370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2</v>
      </c>
      <c r="M362" s="343">
        <v>2020</v>
      </c>
      <c r="N362" s="344">
        <v>46600000</v>
      </c>
      <c r="O362" s="345">
        <v>43370</v>
      </c>
      <c r="P362" s="345">
        <v>43370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3</v>
      </c>
      <c r="M363" s="343">
        <v>2021</v>
      </c>
      <c r="N363" s="344">
        <v>48100000</v>
      </c>
      <c r="O363" s="345">
        <v>43370</v>
      </c>
      <c r="P363" s="345">
        <v>43370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6</v>
      </c>
      <c r="M364" s="343">
        <v>2024</v>
      </c>
      <c r="N364" s="344">
        <v>0</v>
      </c>
      <c r="O364" s="345">
        <v>43370</v>
      </c>
      <c r="P364" s="345">
        <v>43370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3</v>
      </c>
      <c r="M365" s="343">
        <v>2021</v>
      </c>
      <c r="N365" s="344">
        <v>0</v>
      </c>
      <c r="O365" s="345">
        <v>43370</v>
      </c>
      <c r="P365" s="345">
        <v>43370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8</v>
      </c>
      <c r="M366" s="343">
        <v>2026</v>
      </c>
      <c r="N366" s="344">
        <v>0</v>
      </c>
      <c r="O366" s="345">
        <v>43370</v>
      </c>
      <c r="P366" s="345">
        <v>43370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1</v>
      </c>
      <c r="M367" s="343">
        <v>2019</v>
      </c>
      <c r="N367" s="344">
        <v>10087632.01</v>
      </c>
      <c r="O367" s="345">
        <v>43370</v>
      </c>
      <c r="P367" s="345">
        <v>43370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0</v>
      </c>
      <c r="M368" s="343">
        <v>2018</v>
      </c>
      <c r="N368" s="344">
        <v>160771</v>
      </c>
      <c r="O368" s="345">
        <v>43370</v>
      </c>
      <c r="P368" s="345">
        <v>43370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2023</v>
      </c>
      <c r="N369" s="344">
        <v>0</v>
      </c>
      <c r="O369" s="345">
        <v>43370</v>
      </c>
      <c r="P369" s="345">
        <v>43370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4</v>
      </c>
      <c r="M370" s="343">
        <v>2022</v>
      </c>
      <c r="N370" s="344">
        <v>0</v>
      </c>
      <c r="O370" s="345">
        <v>43370</v>
      </c>
      <c r="P370" s="345">
        <v>43370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7</v>
      </c>
      <c r="M371" s="343">
        <v>2025</v>
      </c>
      <c r="N371" s="344">
        <v>0</v>
      </c>
      <c r="O371" s="345">
        <v>43370</v>
      </c>
      <c r="P371" s="345">
        <v>43370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2020</v>
      </c>
      <c r="N372" s="344">
        <v>4942919.51</v>
      </c>
      <c r="O372" s="345">
        <v>43370</v>
      </c>
      <c r="P372" s="345">
        <v>43370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0</v>
      </c>
      <c r="M373" s="343">
        <v>2018</v>
      </c>
      <c r="N373" s="344">
        <v>0</v>
      </c>
      <c r="O373" s="345">
        <v>43370</v>
      </c>
      <c r="P373" s="345">
        <v>43370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1</v>
      </c>
      <c r="M374" s="343">
        <v>2019</v>
      </c>
      <c r="N374" s="344">
        <v>0</v>
      </c>
      <c r="O374" s="345">
        <v>43370</v>
      </c>
      <c r="P374" s="345">
        <v>43370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2</v>
      </c>
      <c r="M375" s="343">
        <v>2020</v>
      </c>
      <c r="N375" s="344">
        <v>0</v>
      </c>
      <c r="O375" s="345">
        <v>43370</v>
      </c>
      <c r="P375" s="345">
        <v>43370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4</v>
      </c>
      <c r="M376" s="343">
        <v>2022</v>
      </c>
      <c r="N376" s="344">
        <v>0</v>
      </c>
      <c r="O376" s="345">
        <v>43370</v>
      </c>
      <c r="P376" s="345">
        <v>43370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2026</v>
      </c>
      <c r="N377" s="344">
        <v>0</v>
      </c>
      <c r="O377" s="345">
        <v>43370</v>
      </c>
      <c r="P377" s="345">
        <v>43370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3</v>
      </c>
      <c r="M378" s="343">
        <v>2021</v>
      </c>
      <c r="N378" s="344">
        <v>0</v>
      </c>
      <c r="O378" s="345">
        <v>43370</v>
      </c>
      <c r="P378" s="345">
        <v>43370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6</v>
      </c>
      <c r="M379" s="343">
        <v>2024</v>
      </c>
      <c r="N379" s="344">
        <v>0</v>
      </c>
      <c r="O379" s="345">
        <v>43370</v>
      </c>
      <c r="P379" s="345">
        <v>43370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7</v>
      </c>
      <c r="M380" s="343">
        <v>2025</v>
      </c>
      <c r="N380" s="344">
        <v>0</v>
      </c>
      <c r="O380" s="345">
        <v>43370</v>
      </c>
      <c r="P380" s="345">
        <v>43370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5</v>
      </c>
      <c r="M381" s="343">
        <v>2023</v>
      </c>
      <c r="N381" s="344">
        <v>0</v>
      </c>
      <c r="O381" s="345">
        <v>43370</v>
      </c>
      <c r="P381" s="345">
        <v>43370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4</v>
      </c>
      <c r="M382" s="343">
        <v>2022</v>
      </c>
      <c r="N382" s="344">
        <v>0.0533</v>
      </c>
      <c r="O382" s="345">
        <v>43370</v>
      </c>
      <c r="P382" s="345">
        <v>43370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8</v>
      </c>
      <c r="M383" s="343">
        <v>2026</v>
      </c>
      <c r="N383" s="344">
        <v>0.0135</v>
      </c>
      <c r="O383" s="345">
        <v>43370</v>
      </c>
      <c r="P383" s="345">
        <v>43370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0</v>
      </c>
      <c r="M384" s="343">
        <v>2018</v>
      </c>
      <c r="N384" s="344">
        <v>0.0366</v>
      </c>
      <c r="O384" s="345">
        <v>43370</v>
      </c>
      <c r="P384" s="345">
        <v>43370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7</v>
      </c>
      <c r="M385" s="343">
        <v>2025</v>
      </c>
      <c r="N385" s="344">
        <v>0.0233</v>
      </c>
      <c r="O385" s="345">
        <v>43370</v>
      </c>
      <c r="P385" s="345">
        <v>43370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2</v>
      </c>
      <c r="M386" s="343">
        <v>2020</v>
      </c>
      <c r="N386" s="344">
        <v>0.0545</v>
      </c>
      <c r="O386" s="345">
        <v>43370</v>
      </c>
      <c r="P386" s="345">
        <v>43370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1</v>
      </c>
      <c r="M387" s="343">
        <v>2019</v>
      </c>
      <c r="N387" s="344">
        <v>0.044</v>
      </c>
      <c r="O387" s="345">
        <v>43370</v>
      </c>
      <c r="P387" s="345">
        <v>43370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3</v>
      </c>
      <c r="M388" s="343">
        <v>2021</v>
      </c>
      <c r="N388" s="344">
        <v>0.0549</v>
      </c>
      <c r="O388" s="345">
        <v>43370</v>
      </c>
      <c r="P388" s="345">
        <v>43370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2023</v>
      </c>
      <c r="N389" s="344">
        <v>0.0541</v>
      </c>
      <c r="O389" s="345">
        <v>43370</v>
      </c>
      <c r="P389" s="345">
        <v>43370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6</v>
      </c>
      <c r="M390" s="343">
        <v>2024</v>
      </c>
      <c r="N390" s="344">
        <v>0.0296</v>
      </c>
      <c r="O390" s="345">
        <v>43370</v>
      </c>
      <c r="P390" s="345">
        <v>43370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1</v>
      </c>
      <c r="M391" s="343">
        <v>2019</v>
      </c>
      <c r="N391" s="344">
        <v>0</v>
      </c>
      <c r="O391" s="345">
        <v>43370</v>
      </c>
      <c r="P391" s="345">
        <v>43370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6</v>
      </c>
      <c r="M392" s="343">
        <v>2024</v>
      </c>
      <c r="N392" s="344">
        <v>0</v>
      </c>
      <c r="O392" s="345">
        <v>43370</v>
      </c>
      <c r="P392" s="345">
        <v>43370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8</v>
      </c>
      <c r="M393" s="343">
        <v>2026</v>
      </c>
      <c r="N393" s="344">
        <v>0</v>
      </c>
      <c r="O393" s="345">
        <v>43370</v>
      </c>
      <c r="P393" s="345">
        <v>43370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4</v>
      </c>
      <c r="M394" s="343">
        <v>2022</v>
      </c>
      <c r="N394" s="344">
        <v>0</v>
      </c>
      <c r="O394" s="345">
        <v>43370</v>
      </c>
      <c r="P394" s="345">
        <v>43370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7</v>
      </c>
      <c r="M395" s="343">
        <v>2025</v>
      </c>
      <c r="N395" s="344">
        <v>0</v>
      </c>
      <c r="O395" s="345">
        <v>43370</v>
      </c>
      <c r="P395" s="345">
        <v>43370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3</v>
      </c>
      <c r="M396" s="343">
        <v>2021</v>
      </c>
      <c r="N396" s="344">
        <v>0</v>
      </c>
      <c r="O396" s="345">
        <v>43370</v>
      </c>
      <c r="P396" s="345">
        <v>43370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5</v>
      </c>
      <c r="M397" s="343">
        <v>2023</v>
      </c>
      <c r="N397" s="344">
        <v>0</v>
      </c>
      <c r="O397" s="345">
        <v>43370</v>
      </c>
      <c r="P397" s="345">
        <v>43370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2</v>
      </c>
      <c r="M398" s="343">
        <v>2020</v>
      </c>
      <c r="N398" s="344">
        <v>0</v>
      </c>
      <c r="O398" s="345">
        <v>43370</v>
      </c>
      <c r="P398" s="345">
        <v>43370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0</v>
      </c>
      <c r="M399" s="343">
        <v>2018</v>
      </c>
      <c r="N399" s="344">
        <v>0</v>
      </c>
      <c r="O399" s="345">
        <v>43370</v>
      </c>
      <c r="P399" s="345">
        <v>43370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8</v>
      </c>
      <c r="M400" s="343">
        <v>2026</v>
      </c>
      <c r="N400" s="344">
        <v>531933.73</v>
      </c>
      <c r="O400" s="345">
        <v>43370</v>
      </c>
      <c r="P400" s="345">
        <v>43370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7</v>
      </c>
      <c r="M401" s="343">
        <v>2025</v>
      </c>
      <c r="N401" s="344">
        <v>1000000</v>
      </c>
      <c r="O401" s="345">
        <v>43370</v>
      </c>
      <c r="P401" s="345">
        <v>43370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0</v>
      </c>
      <c r="M402" s="343">
        <v>2018</v>
      </c>
      <c r="N402" s="344">
        <v>1678204</v>
      </c>
      <c r="O402" s="345">
        <v>43370</v>
      </c>
      <c r="P402" s="345">
        <v>43370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6</v>
      </c>
      <c r="M403" s="343">
        <v>2024</v>
      </c>
      <c r="N403" s="344">
        <v>1250000</v>
      </c>
      <c r="O403" s="345">
        <v>43370</v>
      </c>
      <c r="P403" s="345">
        <v>43370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4</v>
      </c>
      <c r="M404" s="343">
        <v>2022</v>
      </c>
      <c r="N404" s="344">
        <v>2250004</v>
      </c>
      <c r="O404" s="345">
        <v>43370</v>
      </c>
      <c r="P404" s="345">
        <v>43370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1</v>
      </c>
      <c r="M405" s="343">
        <v>2019</v>
      </c>
      <c r="N405" s="344">
        <v>1860004</v>
      </c>
      <c r="O405" s="345">
        <v>43370</v>
      </c>
      <c r="P405" s="345">
        <v>43370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3</v>
      </c>
      <c r="M406" s="343">
        <v>2021</v>
      </c>
      <c r="N406" s="344">
        <v>2210004</v>
      </c>
      <c r="O406" s="345">
        <v>43370</v>
      </c>
      <c r="P406" s="345">
        <v>43370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2</v>
      </c>
      <c r="M407" s="343">
        <v>2020</v>
      </c>
      <c r="N407" s="344">
        <v>2210004</v>
      </c>
      <c r="O407" s="345">
        <v>43370</v>
      </c>
      <c r="P407" s="345">
        <v>43370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5</v>
      </c>
      <c r="M408" s="343">
        <v>2023</v>
      </c>
      <c r="N408" s="344">
        <v>2418000</v>
      </c>
      <c r="O408" s="345">
        <v>43370</v>
      </c>
      <c r="P408" s="345">
        <v>43370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2</v>
      </c>
      <c r="M409" s="343">
        <v>2020</v>
      </c>
      <c r="N409" s="344">
        <v>0</v>
      </c>
      <c r="O409" s="345">
        <v>43370</v>
      </c>
      <c r="P409" s="345">
        <v>43370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1</v>
      </c>
      <c r="M410" s="343">
        <v>2019</v>
      </c>
      <c r="N410" s="344">
        <v>0</v>
      </c>
      <c r="O410" s="345">
        <v>43370</v>
      </c>
      <c r="P410" s="345">
        <v>43370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3</v>
      </c>
      <c r="M411" s="343">
        <v>2021</v>
      </c>
      <c r="N411" s="344">
        <v>0</v>
      </c>
      <c r="O411" s="345">
        <v>43370</v>
      </c>
      <c r="P411" s="345">
        <v>43370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4</v>
      </c>
      <c r="M412" s="343">
        <v>2022</v>
      </c>
      <c r="N412" s="344">
        <v>0</v>
      </c>
      <c r="O412" s="345">
        <v>43370</v>
      </c>
      <c r="P412" s="345">
        <v>43370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5</v>
      </c>
      <c r="M413" s="343">
        <v>2023</v>
      </c>
      <c r="N413" s="344">
        <v>0</v>
      </c>
      <c r="O413" s="345">
        <v>43370</v>
      </c>
      <c r="P413" s="345">
        <v>43370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8</v>
      </c>
      <c r="M414" s="343">
        <v>2026</v>
      </c>
      <c r="N414" s="344">
        <v>0</v>
      </c>
      <c r="O414" s="345">
        <v>43370</v>
      </c>
      <c r="P414" s="345">
        <v>43370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7</v>
      </c>
      <c r="M415" s="343">
        <v>2025</v>
      </c>
      <c r="N415" s="344">
        <v>0</v>
      </c>
      <c r="O415" s="345">
        <v>43370</v>
      </c>
      <c r="P415" s="345">
        <v>43370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0</v>
      </c>
      <c r="M416" s="343">
        <v>2018</v>
      </c>
      <c r="N416" s="344">
        <v>0</v>
      </c>
      <c r="O416" s="345">
        <v>43370</v>
      </c>
      <c r="P416" s="345">
        <v>43370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6</v>
      </c>
      <c r="M417" s="343">
        <v>2024</v>
      </c>
      <c r="N417" s="344">
        <v>0</v>
      </c>
      <c r="O417" s="345">
        <v>43370</v>
      </c>
      <c r="P417" s="345">
        <v>43370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3</v>
      </c>
      <c r="M418" s="343">
        <v>2021</v>
      </c>
      <c r="N418" s="344">
        <v>0</v>
      </c>
      <c r="O418" s="345">
        <v>43370</v>
      </c>
      <c r="P418" s="345">
        <v>43370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1</v>
      </c>
      <c r="M419" s="343">
        <v>2019</v>
      </c>
      <c r="N419" s="344">
        <v>0</v>
      </c>
      <c r="O419" s="345">
        <v>43370</v>
      </c>
      <c r="P419" s="345">
        <v>43370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7</v>
      </c>
      <c r="M420" s="343">
        <v>2025</v>
      </c>
      <c r="N420" s="344">
        <v>0</v>
      </c>
      <c r="O420" s="345">
        <v>43370</v>
      </c>
      <c r="P420" s="345">
        <v>43370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2026</v>
      </c>
      <c r="N421" s="344">
        <v>0</v>
      </c>
      <c r="O421" s="345">
        <v>43370</v>
      </c>
      <c r="P421" s="345">
        <v>43370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5</v>
      </c>
      <c r="M422" s="343">
        <v>2023</v>
      </c>
      <c r="N422" s="344">
        <v>0</v>
      </c>
      <c r="O422" s="345">
        <v>43370</v>
      </c>
      <c r="P422" s="345">
        <v>43370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2024</v>
      </c>
      <c r="N423" s="344">
        <v>0</v>
      </c>
      <c r="O423" s="345">
        <v>43370</v>
      </c>
      <c r="P423" s="345">
        <v>43370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2</v>
      </c>
      <c r="M424" s="343">
        <v>2020</v>
      </c>
      <c r="N424" s="344">
        <v>0</v>
      </c>
      <c r="O424" s="345">
        <v>43370</v>
      </c>
      <c r="P424" s="345">
        <v>43370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4</v>
      </c>
      <c r="M425" s="343">
        <v>2022</v>
      </c>
      <c r="N425" s="344">
        <v>0</v>
      </c>
      <c r="O425" s="345">
        <v>43370</v>
      </c>
      <c r="P425" s="345">
        <v>43370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2018</v>
      </c>
      <c r="N426" s="344">
        <v>0</v>
      </c>
      <c r="O426" s="345">
        <v>43370</v>
      </c>
      <c r="P426" s="345">
        <v>43370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3</v>
      </c>
      <c r="M427" s="343">
        <v>2021</v>
      </c>
      <c r="N427" s="344">
        <v>5600000</v>
      </c>
      <c r="O427" s="345">
        <v>43370</v>
      </c>
      <c r="P427" s="345">
        <v>43370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6</v>
      </c>
      <c r="M428" s="343">
        <v>2024</v>
      </c>
      <c r="N428" s="344">
        <v>8600000</v>
      </c>
      <c r="O428" s="345">
        <v>43370</v>
      </c>
      <c r="P428" s="345">
        <v>43370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0</v>
      </c>
      <c r="M429" s="343">
        <v>2018</v>
      </c>
      <c r="N429" s="344">
        <v>1531933.73</v>
      </c>
      <c r="O429" s="345">
        <v>43370</v>
      </c>
      <c r="P429" s="345">
        <v>43370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4</v>
      </c>
      <c r="M430" s="343">
        <v>2022</v>
      </c>
      <c r="N430" s="344">
        <v>6600000</v>
      </c>
      <c r="O430" s="345">
        <v>43370</v>
      </c>
      <c r="P430" s="345">
        <v>43370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0</v>
      </c>
      <c r="M431" s="343">
        <v>2018</v>
      </c>
      <c r="N431" s="344">
        <v>4576669.41</v>
      </c>
      <c r="O431" s="345">
        <v>43370</v>
      </c>
      <c r="P431" s="345">
        <v>43370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7</v>
      </c>
      <c r="M432" s="343">
        <v>2025</v>
      </c>
      <c r="N432" s="344">
        <v>9600000</v>
      </c>
      <c r="O432" s="345">
        <v>43370</v>
      </c>
      <c r="P432" s="345">
        <v>43370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2</v>
      </c>
      <c r="M433" s="343">
        <v>2020</v>
      </c>
      <c r="N433" s="344">
        <v>4600000</v>
      </c>
      <c r="O433" s="345">
        <v>43370</v>
      </c>
      <c r="P433" s="345">
        <v>43370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8</v>
      </c>
      <c r="M434" s="343">
        <v>2026</v>
      </c>
      <c r="N434" s="344">
        <v>10600000</v>
      </c>
      <c r="O434" s="345">
        <v>43370</v>
      </c>
      <c r="P434" s="345">
        <v>43370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5</v>
      </c>
      <c r="M435" s="343">
        <v>2023</v>
      </c>
      <c r="N435" s="344">
        <v>7600000</v>
      </c>
      <c r="O435" s="345">
        <v>43370</v>
      </c>
      <c r="P435" s="345">
        <v>43370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1</v>
      </c>
      <c r="M436" s="343">
        <v>2019</v>
      </c>
      <c r="N436" s="344">
        <v>3600000</v>
      </c>
      <c r="O436" s="345">
        <v>43370</v>
      </c>
      <c r="P436" s="345">
        <v>43370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2</v>
      </c>
      <c r="M437" s="343">
        <v>2020</v>
      </c>
      <c r="N437" s="344">
        <v>0</v>
      </c>
      <c r="O437" s="345">
        <v>43370</v>
      </c>
      <c r="P437" s="345">
        <v>43370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8</v>
      </c>
      <c r="M438" s="343">
        <v>2026</v>
      </c>
      <c r="N438" s="344">
        <v>0</v>
      </c>
      <c r="O438" s="345">
        <v>43370</v>
      </c>
      <c r="P438" s="345">
        <v>43370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3</v>
      </c>
      <c r="M439" s="343">
        <v>2021</v>
      </c>
      <c r="N439" s="344">
        <v>0</v>
      </c>
      <c r="O439" s="345">
        <v>43370</v>
      </c>
      <c r="P439" s="345">
        <v>43370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4</v>
      </c>
      <c r="M440" s="343">
        <v>2022</v>
      </c>
      <c r="N440" s="344">
        <v>0</v>
      </c>
      <c r="O440" s="345">
        <v>43370</v>
      </c>
      <c r="P440" s="345">
        <v>43370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0</v>
      </c>
      <c r="M441" s="343">
        <v>2018</v>
      </c>
      <c r="N441" s="344">
        <v>1319502.62</v>
      </c>
      <c r="O441" s="345">
        <v>43370</v>
      </c>
      <c r="P441" s="345">
        <v>43370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6</v>
      </c>
      <c r="M442" s="343">
        <v>2024</v>
      </c>
      <c r="N442" s="344">
        <v>0</v>
      </c>
      <c r="O442" s="345">
        <v>43370</v>
      </c>
      <c r="P442" s="345">
        <v>43370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1</v>
      </c>
      <c r="M443" s="343">
        <v>2019</v>
      </c>
      <c r="N443" s="344">
        <v>0</v>
      </c>
      <c r="O443" s="345">
        <v>43370</v>
      </c>
      <c r="P443" s="345">
        <v>43370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5</v>
      </c>
      <c r="M444" s="343">
        <v>2023</v>
      </c>
      <c r="N444" s="344">
        <v>0</v>
      </c>
      <c r="O444" s="345">
        <v>43370</v>
      </c>
      <c r="P444" s="345">
        <v>43370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7</v>
      </c>
      <c r="M445" s="343">
        <v>2025</v>
      </c>
      <c r="N445" s="344">
        <v>0</v>
      </c>
      <c r="O445" s="345">
        <v>43370</v>
      </c>
      <c r="P445" s="345">
        <v>43370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0</v>
      </c>
      <c r="M446" s="343">
        <v>2018</v>
      </c>
      <c r="N446" s="344">
        <v>9564590</v>
      </c>
      <c r="O446" s="345">
        <v>43370</v>
      </c>
      <c r="P446" s="345">
        <v>43370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5</v>
      </c>
      <c r="M447" s="343">
        <v>2023</v>
      </c>
      <c r="N447" s="344">
        <v>0</v>
      </c>
      <c r="O447" s="345">
        <v>43370</v>
      </c>
      <c r="P447" s="345">
        <v>43370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3</v>
      </c>
      <c r="M448" s="343">
        <v>2021</v>
      </c>
      <c r="N448" s="344">
        <v>10500000</v>
      </c>
      <c r="O448" s="345">
        <v>43370</v>
      </c>
      <c r="P448" s="345">
        <v>43370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7</v>
      </c>
      <c r="M449" s="343">
        <v>2025</v>
      </c>
      <c r="N449" s="344">
        <v>0</v>
      </c>
      <c r="O449" s="345">
        <v>43370</v>
      </c>
      <c r="P449" s="345">
        <v>43370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8</v>
      </c>
      <c r="M450" s="343">
        <v>2026</v>
      </c>
      <c r="N450" s="344">
        <v>0</v>
      </c>
      <c r="O450" s="345">
        <v>43370</v>
      </c>
      <c r="P450" s="345">
        <v>43370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2</v>
      </c>
      <c r="M451" s="343">
        <v>2020</v>
      </c>
      <c r="N451" s="344">
        <v>10000000</v>
      </c>
      <c r="O451" s="345">
        <v>43370</v>
      </c>
      <c r="P451" s="345">
        <v>43370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6</v>
      </c>
      <c r="M452" s="343">
        <v>2024</v>
      </c>
      <c r="N452" s="344">
        <v>0</v>
      </c>
      <c r="O452" s="345">
        <v>43370</v>
      </c>
      <c r="P452" s="345">
        <v>43370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1</v>
      </c>
      <c r="M453" s="343">
        <v>2019</v>
      </c>
      <c r="N453" s="344">
        <v>9500000</v>
      </c>
      <c r="O453" s="345">
        <v>43370</v>
      </c>
      <c r="P453" s="345">
        <v>43370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4</v>
      </c>
      <c r="M454" s="343">
        <v>2022</v>
      </c>
      <c r="N454" s="344">
        <v>0</v>
      </c>
      <c r="O454" s="345">
        <v>43370</v>
      </c>
      <c r="P454" s="345">
        <v>43370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5</v>
      </c>
      <c r="M455" s="343">
        <v>2023</v>
      </c>
      <c r="N455" s="344">
        <v>0</v>
      </c>
      <c r="O455" s="345">
        <v>43370</v>
      </c>
      <c r="P455" s="345">
        <v>43370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4</v>
      </c>
      <c r="M456" s="343">
        <v>2022</v>
      </c>
      <c r="N456" s="344">
        <v>0</v>
      </c>
      <c r="O456" s="345">
        <v>43370</v>
      </c>
      <c r="P456" s="345">
        <v>43370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6</v>
      </c>
      <c r="M457" s="343">
        <v>2024</v>
      </c>
      <c r="N457" s="344">
        <v>0</v>
      </c>
      <c r="O457" s="345">
        <v>43370</v>
      </c>
      <c r="P457" s="345">
        <v>43370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1</v>
      </c>
      <c r="M458" s="343">
        <v>2019</v>
      </c>
      <c r="N458" s="344">
        <v>0</v>
      </c>
      <c r="O458" s="345">
        <v>43370</v>
      </c>
      <c r="P458" s="345">
        <v>43370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7</v>
      </c>
      <c r="M459" s="343">
        <v>2025</v>
      </c>
      <c r="N459" s="344">
        <v>0</v>
      </c>
      <c r="O459" s="345">
        <v>43370</v>
      </c>
      <c r="P459" s="345">
        <v>43370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2</v>
      </c>
      <c r="M460" s="343">
        <v>2020</v>
      </c>
      <c r="N460" s="344">
        <v>0</v>
      </c>
      <c r="O460" s="345">
        <v>43370</v>
      </c>
      <c r="P460" s="345">
        <v>43370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3</v>
      </c>
      <c r="M461" s="343">
        <v>2021</v>
      </c>
      <c r="N461" s="344">
        <v>0</v>
      </c>
      <c r="O461" s="345">
        <v>43370</v>
      </c>
      <c r="P461" s="345">
        <v>43370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8</v>
      </c>
      <c r="M462" s="343">
        <v>2026</v>
      </c>
      <c r="N462" s="344">
        <v>0</v>
      </c>
      <c r="O462" s="345">
        <v>43370</v>
      </c>
      <c r="P462" s="345">
        <v>43370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5</v>
      </c>
      <c r="M463" s="343">
        <v>2023</v>
      </c>
      <c r="N463" s="344">
        <v>51100000</v>
      </c>
      <c r="O463" s="345">
        <v>43370</v>
      </c>
      <c r="P463" s="345">
        <v>43370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6</v>
      </c>
      <c r="M464" s="343">
        <v>2024</v>
      </c>
      <c r="N464" s="344">
        <v>52600000</v>
      </c>
      <c r="O464" s="345">
        <v>43370</v>
      </c>
      <c r="P464" s="345">
        <v>43370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8</v>
      </c>
      <c r="M465" s="343">
        <v>2026</v>
      </c>
      <c r="N465" s="344">
        <v>55600000</v>
      </c>
      <c r="O465" s="345">
        <v>43370</v>
      </c>
      <c r="P465" s="345">
        <v>43370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3</v>
      </c>
      <c r="M466" s="343">
        <v>2021</v>
      </c>
      <c r="N466" s="344">
        <v>48100000</v>
      </c>
      <c r="O466" s="345">
        <v>43370</v>
      </c>
      <c r="P466" s="345">
        <v>43370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4</v>
      </c>
      <c r="M467" s="343">
        <v>2022</v>
      </c>
      <c r="N467" s="344">
        <v>49600000</v>
      </c>
      <c r="O467" s="345">
        <v>43370</v>
      </c>
      <c r="P467" s="345">
        <v>43370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1</v>
      </c>
      <c r="M468" s="343">
        <v>2019</v>
      </c>
      <c r="N468" s="344">
        <v>53968000</v>
      </c>
      <c r="O468" s="345">
        <v>43370</v>
      </c>
      <c r="P468" s="345">
        <v>43370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2</v>
      </c>
      <c r="M469" s="343">
        <v>2020</v>
      </c>
      <c r="N469" s="344">
        <v>49178762.71</v>
      </c>
      <c r="O469" s="345">
        <v>43370</v>
      </c>
      <c r="P469" s="345">
        <v>43370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7</v>
      </c>
      <c r="M470" s="343">
        <v>2025</v>
      </c>
      <c r="N470" s="344">
        <v>54100000</v>
      </c>
      <c r="O470" s="345">
        <v>43370</v>
      </c>
      <c r="P470" s="345">
        <v>43370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0</v>
      </c>
      <c r="M471" s="343">
        <v>2018</v>
      </c>
      <c r="N471" s="344">
        <v>58624216.22</v>
      </c>
      <c r="O471" s="345">
        <v>43370</v>
      </c>
      <c r="P471" s="345">
        <v>43370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5</v>
      </c>
      <c r="M472" s="343">
        <v>2023</v>
      </c>
      <c r="N472" s="344">
        <v>2781933.73</v>
      </c>
      <c r="O472" s="345">
        <v>43370</v>
      </c>
      <c r="P472" s="345">
        <v>43370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4</v>
      </c>
      <c r="M473" s="343">
        <v>2022</v>
      </c>
      <c r="N473" s="344">
        <v>5199933.73</v>
      </c>
      <c r="O473" s="345">
        <v>43370</v>
      </c>
      <c r="P473" s="345">
        <v>43370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6</v>
      </c>
      <c r="M474" s="343">
        <v>2024</v>
      </c>
      <c r="N474" s="344">
        <v>1531933.73</v>
      </c>
      <c r="O474" s="345">
        <v>43370</v>
      </c>
      <c r="P474" s="345">
        <v>43370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8</v>
      </c>
      <c r="M475" s="343">
        <v>2026</v>
      </c>
      <c r="N475" s="344">
        <v>0</v>
      </c>
      <c r="O475" s="345">
        <v>43370</v>
      </c>
      <c r="P475" s="345">
        <v>43370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1</v>
      </c>
      <c r="M476" s="343">
        <v>2019</v>
      </c>
      <c r="N476" s="344">
        <v>11869945.73</v>
      </c>
      <c r="O476" s="345">
        <v>43370</v>
      </c>
      <c r="P476" s="345">
        <v>43370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0</v>
      </c>
      <c r="M477" s="343">
        <v>2018</v>
      </c>
      <c r="N477" s="344">
        <v>13729949.73</v>
      </c>
      <c r="O477" s="345">
        <v>43370</v>
      </c>
      <c r="P477" s="345">
        <v>43370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3</v>
      </c>
      <c r="M478" s="343">
        <v>2021</v>
      </c>
      <c r="N478" s="344">
        <v>7449937.73</v>
      </c>
      <c r="O478" s="345">
        <v>43370</v>
      </c>
      <c r="P478" s="345">
        <v>43370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2</v>
      </c>
      <c r="M479" s="343">
        <v>2020</v>
      </c>
      <c r="N479" s="344">
        <v>9659941.73</v>
      </c>
      <c r="O479" s="345">
        <v>43370</v>
      </c>
      <c r="P479" s="345">
        <v>43370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7</v>
      </c>
      <c r="M480" s="343">
        <v>2025</v>
      </c>
      <c r="N480" s="344">
        <v>531933.73</v>
      </c>
      <c r="O480" s="345">
        <v>43370</v>
      </c>
      <c r="P480" s="345">
        <v>43370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2</v>
      </c>
      <c r="M481" s="343">
        <v>2020</v>
      </c>
      <c r="N481" s="344">
        <v>0</v>
      </c>
      <c r="O481" s="345">
        <v>43370</v>
      </c>
      <c r="P481" s="345">
        <v>43370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0</v>
      </c>
      <c r="M482" s="343">
        <v>2018</v>
      </c>
      <c r="N482" s="344">
        <v>4289870.71</v>
      </c>
      <c r="O482" s="345">
        <v>43370</v>
      </c>
      <c r="P482" s="345">
        <v>43370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1</v>
      </c>
      <c r="M483" s="343">
        <v>2019</v>
      </c>
      <c r="N483" s="344">
        <v>0</v>
      </c>
      <c r="O483" s="345">
        <v>43370</v>
      </c>
      <c r="P483" s="345">
        <v>43370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6</v>
      </c>
      <c r="M484" s="343">
        <v>2024</v>
      </c>
      <c r="N484" s="344">
        <v>0</v>
      </c>
      <c r="O484" s="345">
        <v>43370</v>
      </c>
      <c r="P484" s="345">
        <v>43370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4</v>
      </c>
      <c r="M485" s="343">
        <v>2022</v>
      </c>
      <c r="N485" s="344">
        <v>0</v>
      </c>
      <c r="O485" s="345">
        <v>43370</v>
      </c>
      <c r="P485" s="345">
        <v>43370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8</v>
      </c>
      <c r="M486" s="343">
        <v>2026</v>
      </c>
      <c r="N486" s="344">
        <v>0</v>
      </c>
      <c r="O486" s="345">
        <v>43370</v>
      </c>
      <c r="P486" s="345">
        <v>43370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3</v>
      </c>
      <c r="M487" s="343">
        <v>2021</v>
      </c>
      <c r="N487" s="344">
        <v>0</v>
      </c>
      <c r="O487" s="345">
        <v>43370</v>
      </c>
      <c r="P487" s="345">
        <v>43370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5</v>
      </c>
      <c r="M488" s="343">
        <v>2023</v>
      </c>
      <c r="N488" s="344">
        <v>0</v>
      </c>
      <c r="O488" s="345">
        <v>43370</v>
      </c>
      <c r="P488" s="345">
        <v>43370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7</v>
      </c>
      <c r="M489" s="343">
        <v>2025</v>
      </c>
      <c r="N489" s="344">
        <v>0</v>
      </c>
      <c r="O489" s="345">
        <v>43370</v>
      </c>
      <c r="P489" s="345">
        <v>43370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4</v>
      </c>
      <c r="M490" s="343">
        <v>2022</v>
      </c>
      <c r="N490" s="344">
        <v>0</v>
      </c>
      <c r="O490" s="345">
        <v>43370</v>
      </c>
      <c r="P490" s="345">
        <v>43370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2</v>
      </c>
      <c r="M491" s="343">
        <v>2020</v>
      </c>
      <c r="N491" s="344">
        <v>0</v>
      </c>
      <c r="O491" s="345">
        <v>43370</v>
      </c>
      <c r="P491" s="345">
        <v>43370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8</v>
      </c>
      <c r="M492" s="343">
        <v>2026</v>
      </c>
      <c r="N492" s="344">
        <v>0</v>
      </c>
      <c r="O492" s="345">
        <v>43370</v>
      </c>
      <c r="P492" s="345">
        <v>43370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3</v>
      </c>
      <c r="M493" s="343">
        <v>2021</v>
      </c>
      <c r="N493" s="344">
        <v>0</v>
      </c>
      <c r="O493" s="345">
        <v>43370</v>
      </c>
      <c r="P493" s="345">
        <v>43370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5</v>
      </c>
      <c r="M494" s="343">
        <v>2023</v>
      </c>
      <c r="N494" s="344">
        <v>0</v>
      </c>
      <c r="O494" s="345">
        <v>43370</v>
      </c>
      <c r="P494" s="345">
        <v>43370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7</v>
      </c>
      <c r="M495" s="343">
        <v>2025</v>
      </c>
      <c r="N495" s="344">
        <v>0</v>
      </c>
      <c r="O495" s="345">
        <v>43370</v>
      </c>
      <c r="P495" s="345">
        <v>43370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6</v>
      </c>
      <c r="M496" s="343">
        <v>2024</v>
      </c>
      <c r="N496" s="344">
        <v>0</v>
      </c>
      <c r="O496" s="345">
        <v>43370</v>
      </c>
      <c r="P496" s="345">
        <v>43370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1</v>
      </c>
      <c r="M497" s="343">
        <v>2019</v>
      </c>
      <c r="N497" s="344">
        <v>0</v>
      </c>
      <c r="O497" s="345">
        <v>43370</v>
      </c>
      <c r="P497" s="345">
        <v>43370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0</v>
      </c>
      <c r="M498" s="343">
        <v>2018</v>
      </c>
      <c r="N498" s="344">
        <v>0</v>
      </c>
      <c r="O498" s="345">
        <v>43370</v>
      </c>
      <c r="P498" s="345">
        <v>43370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0</v>
      </c>
      <c r="M499" s="343">
        <v>2018</v>
      </c>
      <c r="N499" s="344">
        <v>1345896.51</v>
      </c>
      <c r="O499" s="345">
        <v>43370</v>
      </c>
      <c r="P499" s="345">
        <v>43370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6</v>
      </c>
      <c r="M500" s="343">
        <v>2024</v>
      </c>
      <c r="N500" s="344">
        <v>0</v>
      </c>
      <c r="O500" s="345">
        <v>43370</v>
      </c>
      <c r="P500" s="345">
        <v>43370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1</v>
      </c>
      <c r="M501" s="343">
        <v>2019</v>
      </c>
      <c r="N501" s="344">
        <v>2923872.01</v>
      </c>
      <c r="O501" s="345">
        <v>43370</v>
      </c>
      <c r="P501" s="345">
        <v>43370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8</v>
      </c>
      <c r="M502" s="343">
        <v>2026</v>
      </c>
      <c r="N502" s="344">
        <v>0</v>
      </c>
      <c r="O502" s="345">
        <v>43370</v>
      </c>
      <c r="P502" s="345">
        <v>43370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7</v>
      </c>
      <c r="M503" s="343">
        <v>2025</v>
      </c>
      <c r="N503" s="344">
        <v>0</v>
      </c>
      <c r="O503" s="345">
        <v>43370</v>
      </c>
      <c r="P503" s="345">
        <v>43370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4</v>
      </c>
      <c r="M504" s="343">
        <v>2022</v>
      </c>
      <c r="N504" s="344">
        <v>0</v>
      </c>
      <c r="O504" s="345">
        <v>43370</v>
      </c>
      <c r="P504" s="345">
        <v>43370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3</v>
      </c>
      <c r="M505" s="343">
        <v>2021</v>
      </c>
      <c r="N505" s="344">
        <v>0</v>
      </c>
      <c r="O505" s="345">
        <v>43370</v>
      </c>
      <c r="P505" s="345">
        <v>43370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5</v>
      </c>
      <c r="M506" s="343">
        <v>2023</v>
      </c>
      <c r="N506" s="344">
        <v>0</v>
      </c>
      <c r="O506" s="345">
        <v>43370</v>
      </c>
      <c r="P506" s="345">
        <v>43370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2</v>
      </c>
      <c r="M507" s="343">
        <v>2020</v>
      </c>
      <c r="N507" s="344">
        <v>2320009.41</v>
      </c>
      <c r="O507" s="345">
        <v>43370</v>
      </c>
      <c r="P507" s="345">
        <v>43370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8</v>
      </c>
      <c r="M508" s="343">
        <v>2026</v>
      </c>
      <c r="N508" s="344">
        <v>0</v>
      </c>
      <c r="O508" s="345">
        <v>43370</v>
      </c>
      <c r="P508" s="345">
        <v>43370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0</v>
      </c>
      <c r="M509" s="343">
        <v>2018</v>
      </c>
      <c r="N509" s="344">
        <v>0</v>
      </c>
      <c r="O509" s="345">
        <v>43370</v>
      </c>
      <c r="P509" s="345">
        <v>43370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4</v>
      </c>
      <c r="M510" s="343">
        <v>2022</v>
      </c>
      <c r="N510" s="344">
        <v>0</v>
      </c>
      <c r="O510" s="345">
        <v>43370</v>
      </c>
      <c r="P510" s="345">
        <v>43370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2021</v>
      </c>
      <c r="N511" s="344">
        <v>0</v>
      </c>
      <c r="O511" s="345">
        <v>43370</v>
      </c>
      <c r="P511" s="345">
        <v>43370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5</v>
      </c>
      <c r="M512" s="343">
        <v>2023</v>
      </c>
      <c r="N512" s="344">
        <v>0</v>
      </c>
      <c r="O512" s="345">
        <v>43370</v>
      </c>
      <c r="P512" s="345">
        <v>43370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2</v>
      </c>
      <c r="M513" s="343">
        <v>2020</v>
      </c>
      <c r="N513" s="344">
        <v>0</v>
      </c>
      <c r="O513" s="345">
        <v>43370</v>
      </c>
      <c r="P513" s="345">
        <v>43370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7</v>
      </c>
      <c r="M514" s="343">
        <v>2025</v>
      </c>
      <c r="N514" s="344">
        <v>0</v>
      </c>
      <c r="O514" s="345">
        <v>43370</v>
      </c>
      <c r="P514" s="345">
        <v>43370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1</v>
      </c>
      <c r="M515" s="343">
        <v>2019</v>
      </c>
      <c r="N515" s="344">
        <v>0</v>
      </c>
      <c r="O515" s="345">
        <v>43370</v>
      </c>
      <c r="P515" s="345">
        <v>43370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6</v>
      </c>
      <c r="M516" s="343">
        <v>2024</v>
      </c>
      <c r="N516" s="344">
        <v>0</v>
      </c>
      <c r="O516" s="345">
        <v>43370</v>
      </c>
      <c r="P516" s="345">
        <v>43370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7</v>
      </c>
      <c r="M517" s="343">
        <v>2025</v>
      </c>
      <c r="N517" s="344">
        <v>0</v>
      </c>
      <c r="O517" s="345">
        <v>43370</v>
      </c>
      <c r="P517" s="345">
        <v>43370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1</v>
      </c>
      <c r="M518" s="343">
        <v>2019</v>
      </c>
      <c r="N518" s="344">
        <v>51843.64</v>
      </c>
      <c r="O518" s="345">
        <v>43370</v>
      </c>
      <c r="P518" s="345">
        <v>43370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5</v>
      </c>
      <c r="M519" s="343">
        <v>2023</v>
      </c>
      <c r="N519" s="344">
        <v>0</v>
      </c>
      <c r="O519" s="345">
        <v>43370</v>
      </c>
      <c r="P519" s="345">
        <v>43370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2</v>
      </c>
      <c r="M520" s="343">
        <v>2020</v>
      </c>
      <c r="N520" s="344">
        <v>14960</v>
      </c>
      <c r="O520" s="345">
        <v>43370</v>
      </c>
      <c r="P520" s="345">
        <v>43370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3</v>
      </c>
      <c r="M521" s="343">
        <v>2021</v>
      </c>
      <c r="N521" s="344">
        <v>0</v>
      </c>
      <c r="O521" s="345">
        <v>43370</v>
      </c>
      <c r="P521" s="345">
        <v>43370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0</v>
      </c>
      <c r="M522" s="343">
        <v>2018</v>
      </c>
      <c r="N522" s="344">
        <v>51152.44</v>
      </c>
      <c r="O522" s="345">
        <v>43370</v>
      </c>
      <c r="P522" s="345">
        <v>43370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4</v>
      </c>
      <c r="M523" s="343">
        <v>2022</v>
      </c>
      <c r="N523" s="344">
        <v>0</v>
      </c>
      <c r="O523" s="345">
        <v>43370</v>
      </c>
      <c r="P523" s="345">
        <v>43370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8</v>
      </c>
      <c r="M524" s="343">
        <v>2026</v>
      </c>
      <c r="N524" s="344">
        <v>0</v>
      </c>
      <c r="O524" s="345">
        <v>43370</v>
      </c>
      <c r="P524" s="345">
        <v>43370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6</v>
      </c>
      <c r="M525" s="343">
        <v>2024</v>
      </c>
      <c r="N525" s="344">
        <v>0</v>
      </c>
      <c r="O525" s="345">
        <v>43370</v>
      </c>
      <c r="P525" s="345">
        <v>43370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2</v>
      </c>
      <c r="M526" s="343">
        <v>2020</v>
      </c>
      <c r="N526" s="344">
        <v>1801250.1</v>
      </c>
      <c r="O526" s="345">
        <v>43370</v>
      </c>
      <c r="P526" s="345">
        <v>43370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3</v>
      </c>
      <c r="M527" s="343">
        <v>2021</v>
      </c>
      <c r="N527" s="344">
        <v>0</v>
      </c>
      <c r="O527" s="345">
        <v>43370</v>
      </c>
      <c r="P527" s="345">
        <v>43370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4</v>
      </c>
      <c r="M528" s="343">
        <v>2022</v>
      </c>
      <c r="N528" s="344">
        <v>0</v>
      </c>
      <c r="O528" s="345">
        <v>43370</v>
      </c>
      <c r="P528" s="345">
        <v>43370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5</v>
      </c>
      <c r="M529" s="343">
        <v>2023</v>
      </c>
      <c r="N529" s="344">
        <v>0</v>
      </c>
      <c r="O529" s="345">
        <v>43370</v>
      </c>
      <c r="P529" s="345">
        <v>43370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8</v>
      </c>
      <c r="M530" s="343">
        <v>2026</v>
      </c>
      <c r="N530" s="344">
        <v>0</v>
      </c>
      <c r="O530" s="345">
        <v>43370</v>
      </c>
      <c r="P530" s="345">
        <v>43370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6</v>
      </c>
      <c r="M531" s="343">
        <v>2024</v>
      </c>
      <c r="N531" s="344">
        <v>0</v>
      </c>
      <c r="O531" s="345">
        <v>43370</v>
      </c>
      <c r="P531" s="345">
        <v>43370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7</v>
      </c>
      <c r="M532" s="343">
        <v>2025</v>
      </c>
      <c r="N532" s="344">
        <v>0</v>
      </c>
      <c r="O532" s="345">
        <v>43370</v>
      </c>
      <c r="P532" s="345">
        <v>43370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1</v>
      </c>
      <c r="M533" s="343">
        <v>2019</v>
      </c>
      <c r="N533" s="344">
        <v>2968000</v>
      </c>
      <c r="O533" s="345">
        <v>43370</v>
      </c>
      <c r="P533" s="345">
        <v>43370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0</v>
      </c>
      <c r="M534" s="343">
        <v>2018</v>
      </c>
      <c r="N534" s="344">
        <v>3201404.52</v>
      </c>
      <c r="O534" s="345">
        <v>43370</v>
      </c>
      <c r="P534" s="345">
        <v>43370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6</v>
      </c>
      <c r="M535" s="343">
        <v>2024</v>
      </c>
      <c r="N535" s="344">
        <v>180000</v>
      </c>
      <c r="O535" s="345">
        <v>43370</v>
      </c>
      <c r="P535" s="345">
        <v>43370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0</v>
      </c>
      <c r="M536" s="343">
        <v>2018</v>
      </c>
      <c r="N536" s="344">
        <v>430000</v>
      </c>
      <c r="O536" s="345">
        <v>43370</v>
      </c>
      <c r="P536" s="345">
        <v>43370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8</v>
      </c>
      <c r="M537" s="343">
        <v>2026</v>
      </c>
      <c r="N537" s="344">
        <v>90000</v>
      </c>
      <c r="O537" s="345">
        <v>43370</v>
      </c>
      <c r="P537" s="345">
        <v>43370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2</v>
      </c>
      <c r="M538" s="343">
        <v>2020</v>
      </c>
      <c r="N538" s="344">
        <v>350000</v>
      </c>
      <c r="O538" s="345">
        <v>43370</v>
      </c>
      <c r="P538" s="345">
        <v>43370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4</v>
      </c>
      <c r="M539" s="343">
        <v>2022</v>
      </c>
      <c r="N539" s="344">
        <v>270000</v>
      </c>
      <c r="O539" s="345">
        <v>43370</v>
      </c>
      <c r="P539" s="345">
        <v>43370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3</v>
      </c>
      <c r="M540" s="343">
        <v>2021</v>
      </c>
      <c r="N540" s="344">
        <v>310000</v>
      </c>
      <c r="O540" s="345">
        <v>43370</v>
      </c>
      <c r="P540" s="345">
        <v>43370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1</v>
      </c>
      <c r="M541" s="343">
        <v>2019</v>
      </c>
      <c r="N541" s="344">
        <v>400000</v>
      </c>
      <c r="O541" s="345">
        <v>43370</v>
      </c>
      <c r="P541" s="345">
        <v>43370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5</v>
      </c>
      <c r="M542" s="343">
        <v>2023</v>
      </c>
      <c r="N542" s="344">
        <v>220000</v>
      </c>
      <c r="O542" s="345">
        <v>43370</v>
      </c>
      <c r="P542" s="345">
        <v>43370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7</v>
      </c>
      <c r="M543" s="343">
        <v>2025</v>
      </c>
      <c r="N543" s="344">
        <v>130000</v>
      </c>
      <c r="O543" s="345">
        <v>43370</v>
      </c>
      <c r="P543" s="345">
        <v>43370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2</v>
      </c>
      <c r="M544" s="343">
        <v>2020</v>
      </c>
      <c r="N544" s="344">
        <v>24300</v>
      </c>
      <c r="O544" s="345">
        <v>43370</v>
      </c>
      <c r="P544" s="345">
        <v>43370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4</v>
      </c>
      <c r="M545" s="343">
        <v>2022</v>
      </c>
      <c r="N545" s="344">
        <v>0</v>
      </c>
      <c r="O545" s="345">
        <v>43370</v>
      </c>
      <c r="P545" s="345">
        <v>43370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5</v>
      </c>
      <c r="M546" s="343">
        <v>2023</v>
      </c>
      <c r="N546" s="344">
        <v>0</v>
      </c>
      <c r="O546" s="345">
        <v>43370</v>
      </c>
      <c r="P546" s="345">
        <v>43370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0</v>
      </c>
      <c r="M547" s="343">
        <v>2018</v>
      </c>
      <c r="N547" s="344">
        <v>77546.33</v>
      </c>
      <c r="O547" s="345">
        <v>43370</v>
      </c>
      <c r="P547" s="345">
        <v>43370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6</v>
      </c>
      <c r="M548" s="343">
        <v>2024</v>
      </c>
      <c r="N548" s="344">
        <v>0</v>
      </c>
      <c r="O548" s="345">
        <v>43370</v>
      </c>
      <c r="P548" s="345">
        <v>43370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3</v>
      </c>
      <c r="M549" s="343">
        <v>2021</v>
      </c>
      <c r="N549" s="344">
        <v>0</v>
      </c>
      <c r="O549" s="345">
        <v>43370</v>
      </c>
      <c r="P549" s="345">
        <v>43370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8</v>
      </c>
      <c r="M550" s="343">
        <v>2026</v>
      </c>
      <c r="N550" s="344">
        <v>0</v>
      </c>
      <c r="O550" s="345">
        <v>43370</v>
      </c>
      <c r="P550" s="345">
        <v>43370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7</v>
      </c>
      <c r="M551" s="343">
        <v>2025</v>
      </c>
      <c r="N551" s="344">
        <v>0</v>
      </c>
      <c r="O551" s="345">
        <v>43370</v>
      </c>
      <c r="P551" s="345">
        <v>43370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1</v>
      </c>
      <c r="M552" s="343">
        <v>2019</v>
      </c>
      <c r="N552" s="344">
        <v>71083.64</v>
      </c>
      <c r="O552" s="345">
        <v>43370</v>
      </c>
      <c r="P552" s="345">
        <v>43370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4</v>
      </c>
      <c r="M553" s="343">
        <v>2022</v>
      </c>
      <c r="N553" s="344">
        <v>4349996</v>
      </c>
      <c r="O553" s="345">
        <v>43370</v>
      </c>
      <c r="P553" s="345">
        <v>43370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6</v>
      </c>
      <c r="M554" s="343">
        <v>2024</v>
      </c>
      <c r="N554" s="344">
        <v>7350000</v>
      </c>
      <c r="O554" s="345">
        <v>43370</v>
      </c>
      <c r="P554" s="345">
        <v>43370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0</v>
      </c>
      <c r="M555" s="343">
        <v>2018</v>
      </c>
      <c r="N555" s="344">
        <v>17542916.3</v>
      </c>
      <c r="O555" s="345">
        <v>43370</v>
      </c>
      <c r="P555" s="345">
        <v>43370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1</v>
      </c>
      <c r="M556" s="343">
        <v>2019</v>
      </c>
      <c r="N556" s="344">
        <v>10607996</v>
      </c>
      <c r="O556" s="345">
        <v>43370</v>
      </c>
      <c r="P556" s="345">
        <v>43370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2</v>
      </c>
      <c r="M557" s="343">
        <v>2020</v>
      </c>
      <c r="N557" s="344">
        <v>4968758.71</v>
      </c>
      <c r="O557" s="345">
        <v>43370</v>
      </c>
      <c r="P557" s="345">
        <v>43370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3</v>
      </c>
      <c r="M558" s="343">
        <v>2021</v>
      </c>
      <c r="N558" s="344">
        <v>3389996</v>
      </c>
      <c r="O558" s="345">
        <v>43370</v>
      </c>
      <c r="P558" s="345">
        <v>43370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7</v>
      </c>
      <c r="M559" s="343">
        <v>2025</v>
      </c>
      <c r="N559" s="344">
        <v>8600000</v>
      </c>
      <c r="O559" s="345">
        <v>43370</v>
      </c>
      <c r="P559" s="345">
        <v>43370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5</v>
      </c>
      <c r="M560" s="343">
        <v>2023</v>
      </c>
      <c r="N560" s="344">
        <v>5182000</v>
      </c>
      <c r="O560" s="345">
        <v>43370</v>
      </c>
      <c r="P560" s="345">
        <v>43370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8</v>
      </c>
      <c r="M561" s="343">
        <v>2026</v>
      </c>
      <c r="N561" s="344">
        <v>10068066.27</v>
      </c>
      <c r="O561" s="345">
        <v>43370</v>
      </c>
      <c r="P561" s="345">
        <v>43370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5</v>
      </c>
      <c r="M562" s="343">
        <v>2023</v>
      </c>
      <c r="N562" s="344">
        <v>0</v>
      </c>
      <c r="O562" s="345">
        <v>43370</v>
      </c>
      <c r="P562" s="345">
        <v>43370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2</v>
      </c>
      <c r="M563" s="343">
        <v>2020</v>
      </c>
      <c r="N563" s="344">
        <v>0</v>
      </c>
      <c r="O563" s="345">
        <v>43370</v>
      </c>
      <c r="P563" s="345">
        <v>43370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3</v>
      </c>
      <c r="M564" s="343">
        <v>2021</v>
      </c>
      <c r="N564" s="344">
        <v>0</v>
      </c>
      <c r="O564" s="345">
        <v>43370</v>
      </c>
      <c r="P564" s="345">
        <v>43370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4</v>
      </c>
      <c r="M565" s="343">
        <v>2022</v>
      </c>
      <c r="N565" s="344">
        <v>0</v>
      </c>
      <c r="O565" s="345">
        <v>43370</v>
      </c>
      <c r="P565" s="345">
        <v>43370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1</v>
      </c>
      <c r="M566" s="343">
        <v>2019</v>
      </c>
      <c r="N566" s="344">
        <v>0</v>
      </c>
      <c r="O566" s="345">
        <v>43370</v>
      </c>
      <c r="P566" s="345">
        <v>43370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7</v>
      </c>
      <c r="M567" s="343">
        <v>2025</v>
      </c>
      <c r="N567" s="344">
        <v>0</v>
      </c>
      <c r="O567" s="345">
        <v>43370</v>
      </c>
      <c r="P567" s="345">
        <v>43370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0</v>
      </c>
      <c r="M568" s="343">
        <v>2018</v>
      </c>
      <c r="N568" s="344">
        <v>0</v>
      </c>
      <c r="O568" s="345">
        <v>43370</v>
      </c>
      <c r="P568" s="345">
        <v>43370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6</v>
      </c>
      <c r="M569" s="343">
        <v>2024</v>
      </c>
      <c r="N569" s="344">
        <v>0</v>
      </c>
      <c r="O569" s="345">
        <v>43370</v>
      </c>
      <c r="P569" s="345">
        <v>43370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8</v>
      </c>
      <c r="M570" s="343">
        <v>2026</v>
      </c>
      <c r="N570" s="344">
        <v>0</v>
      </c>
      <c r="O570" s="345">
        <v>43370</v>
      </c>
      <c r="P570" s="345">
        <v>43370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1</v>
      </c>
      <c r="M571" s="343">
        <v>2019</v>
      </c>
      <c r="N571" s="344">
        <v>0</v>
      </c>
      <c r="O571" s="345">
        <v>43370</v>
      </c>
      <c r="P571" s="345">
        <v>43370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2</v>
      </c>
      <c r="M572" s="343">
        <v>2020</v>
      </c>
      <c r="N572" s="344">
        <v>0</v>
      </c>
      <c r="O572" s="345">
        <v>43370</v>
      </c>
      <c r="P572" s="345">
        <v>43370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4</v>
      </c>
      <c r="M573" s="343">
        <v>2022</v>
      </c>
      <c r="N573" s="344">
        <v>0</v>
      </c>
      <c r="O573" s="345">
        <v>43370</v>
      </c>
      <c r="P573" s="345">
        <v>43370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8</v>
      </c>
      <c r="M574" s="343">
        <v>2026</v>
      </c>
      <c r="N574" s="344">
        <v>0</v>
      </c>
      <c r="O574" s="345">
        <v>43370</v>
      </c>
      <c r="P574" s="345">
        <v>43370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0</v>
      </c>
      <c r="M575" s="343">
        <v>2018</v>
      </c>
      <c r="N575" s="344">
        <v>0</v>
      </c>
      <c r="O575" s="345">
        <v>43370</v>
      </c>
      <c r="P575" s="345">
        <v>43370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6</v>
      </c>
      <c r="M576" s="343">
        <v>2024</v>
      </c>
      <c r="N576" s="344">
        <v>0</v>
      </c>
      <c r="O576" s="345">
        <v>43370</v>
      </c>
      <c r="P576" s="345">
        <v>43370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7</v>
      </c>
      <c r="M577" s="343">
        <v>2025</v>
      </c>
      <c r="N577" s="344">
        <v>0</v>
      </c>
      <c r="O577" s="345">
        <v>43370</v>
      </c>
      <c r="P577" s="345">
        <v>43370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2023</v>
      </c>
      <c r="N578" s="344">
        <v>0</v>
      </c>
      <c r="O578" s="345">
        <v>43370</v>
      </c>
      <c r="P578" s="345">
        <v>43370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3</v>
      </c>
      <c r="M579" s="343">
        <v>2021</v>
      </c>
      <c r="N579" s="344">
        <v>0</v>
      </c>
      <c r="O579" s="345">
        <v>43370</v>
      </c>
      <c r="P579" s="345">
        <v>43370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2</v>
      </c>
      <c r="M580" s="343">
        <v>2020</v>
      </c>
      <c r="N580" s="344">
        <v>119000</v>
      </c>
      <c r="O580" s="345">
        <v>43370</v>
      </c>
      <c r="P580" s="345">
        <v>43370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3</v>
      </c>
      <c r="M581" s="343">
        <v>2021</v>
      </c>
      <c r="N581" s="344">
        <v>120000</v>
      </c>
      <c r="O581" s="345">
        <v>43370</v>
      </c>
      <c r="P581" s="345">
        <v>43370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5</v>
      </c>
      <c r="M582" s="343">
        <v>2023</v>
      </c>
      <c r="N582" s="344">
        <v>124000</v>
      </c>
      <c r="O582" s="345">
        <v>43370</v>
      </c>
      <c r="P582" s="345">
        <v>43370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1</v>
      </c>
      <c r="M583" s="343">
        <v>2019</v>
      </c>
      <c r="N583" s="344">
        <v>117000</v>
      </c>
      <c r="O583" s="345">
        <v>43370</v>
      </c>
      <c r="P583" s="345">
        <v>43370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6</v>
      </c>
      <c r="M584" s="343">
        <v>2024</v>
      </c>
      <c r="N584" s="344">
        <v>126000</v>
      </c>
      <c r="O584" s="345">
        <v>43370</v>
      </c>
      <c r="P584" s="345">
        <v>43370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8</v>
      </c>
      <c r="M585" s="343">
        <v>2026</v>
      </c>
      <c r="N585" s="344">
        <v>130000</v>
      </c>
      <c r="O585" s="345">
        <v>43370</v>
      </c>
      <c r="P585" s="345">
        <v>43370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4</v>
      </c>
      <c r="M586" s="343">
        <v>2022</v>
      </c>
      <c r="N586" s="344">
        <v>122000</v>
      </c>
      <c r="O586" s="345">
        <v>43370</v>
      </c>
      <c r="P586" s="345">
        <v>43370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0</v>
      </c>
      <c r="M587" s="343">
        <v>2018</v>
      </c>
      <c r="N587" s="344">
        <v>39000</v>
      </c>
      <c r="O587" s="345">
        <v>43370</v>
      </c>
      <c r="P587" s="345">
        <v>43370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7</v>
      </c>
      <c r="M588" s="343">
        <v>2025</v>
      </c>
      <c r="N588" s="344">
        <v>128000</v>
      </c>
      <c r="O588" s="345">
        <v>43370</v>
      </c>
      <c r="P588" s="345">
        <v>43370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6</v>
      </c>
      <c r="M589" s="343">
        <v>2024</v>
      </c>
      <c r="N589" s="344">
        <v>0</v>
      </c>
      <c r="O589" s="345">
        <v>43370</v>
      </c>
      <c r="P589" s="345">
        <v>43370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7</v>
      </c>
      <c r="M590" s="343">
        <v>2025</v>
      </c>
      <c r="N590" s="344">
        <v>0</v>
      </c>
      <c r="O590" s="345">
        <v>43370</v>
      </c>
      <c r="P590" s="345">
        <v>43370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4</v>
      </c>
      <c r="M591" s="343">
        <v>2022</v>
      </c>
      <c r="N591" s="344">
        <v>0</v>
      </c>
      <c r="O591" s="345">
        <v>43370</v>
      </c>
      <c r="P591" s="345">
        <v>43370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1</v>
      </c>
      <c r="M592" s="343">
        <v>2019</v>
      </c>
      <c r="N592" s="344">
        <v>0</v>
      </c>
      <c r="O592" s="345">
        <v>43370</v>
      </c>
      <c r="P592" s="345">
        <v>43370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2</v>
      </c>
      <c r="M593" s="343">
        <v>2020</v>
      </c>
      <c r="N593" s="344">
        <v>0</v>
      </c>
      <c r="O593" s="345">
        <v>43370</v>
      </c>
      <c r="P593" s="345">
        <v>43370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8</v>
      </c>
      <c r="M594" s="343">
        <v>2026</v>
      </c>
      <c r="N594" s="344">
        <v>0</v>
      </c>
      <c r="O594" s="345">
        <v>43370</v>
      </c>
      <c r="P594" s="345">
        <v>43370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5</v>
      </c>
      <c r="M595" s="343">
        <v>2023</v>
      </c>
      <c r="N595" s="344">
        <v>0</v>
      </c>
      <c r="O595" s="345">
        <v>43370</v>
      </c>
      <c r="P595" s="345">
        <v>43370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3</v>
      </c>
      <c r="M596" s="343">
        <v>2021</v>
      </c>
      <c r="N596" s="344">
        <v>0</v>
      </c>
      <c r="O596" s="345">
        <v>43370</v>
      </c>
      <c r="P596" s="345">
        <v>43370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0</v>
      </c>
      <c r="M597" s="343">
        <v>2018</v>
      </c>
      <c r="N597" s="344">
        <v>0</v>
      </c>
      <c r="O597" s="345">
        <v>43370</v>
      </c>
      <c r="P597" s="345">
        <v>43370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0</v>
      </c>
      <c r="M598" s="343">
        <v>2018</v>
      </c>
      <c r="N598" s="344">
        <v>0</v>
      </c>
      <c r="O598" s="345">
        <v>43370</v>
      </c>
      <c r="P598" s="345">
        <v>43370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1</v>
      </c>
      <c r="M599" s="343">
        <v>2019</v>
      </c>
      <c r="N599" s="344">
        <v>0</v>
      </c>
      <c r="O599" s="345">
        <v>43370</v>
      </c>
      <c r="P599" s="345">
        <v>43370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2</v>
      </c>
      <c r="M600" s="343">
        <v>2020</v>
      </c>
      <c r="N600" s="344">
        <v>0</v>
      </c>
      <c r="O600" s="345">
        <v>43370</v>
      </c>
      <c r="P600" s="345">
        <v>43370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3</v>
      </c>
      <c r="M601" s="343">
        <v>2021</v>
      </c>
      <c r="N601" s="344">
        <v>0</v>
      </c>
      <c r="O601" s="345">
        <v>43370</v>
      </c>
      <c r="P601" s="345">
        <v>43370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5</v>
      </c>
      <c r="M602" s="343">
        <v>2023</v>
      </c>
      <c r="N602" s="344">
        <v>0</v>
      </c>
      <c r="O602" s="345">
        <v>43370</v>
      </c>
      <c r="P602" s="345">
        <v>43370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6</v>
      </c>
      <c r="M603" s="343">
        <v>2024</v>
      </c>
      <c r="N603" s="344">
        <v>0</v>
      </c>
      <c r="O603" s="345">
        <v>43370</v>
      </c>
      <c r="P603" s="345">
        <v>43370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4</v>
      </c>
      <c r="M604" s="343">
        <v>2022</v>
      </c>
      <c r="N604" s="344">
        <v>0</v>
      </c>
      <c r="O604" s="345">
        <v>43370</v>
      </c>
      <c r="P604" s="345">
        <v>43370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8</v>
      </c>
      <c r="M605" s="343">
        <v>2026</v>
      </c>
      <c r="N605" s="344">
        <v>0</v>
      </c>
      <c r="O605" s="345">
        <v>43370</v>
      </c>
      <c r="P605" s="345">
        <v>43370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7</v>
      </c>
      <c r="M606" s="343">
        <v>2025</v>
      </c>
      <c r="N606" s="344">
        <v>0</v>
      </c>
      <c r="O606" s="345">
        <v>43370</v>
      </c>
      <c r="P606" s="345">
        <v>43370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2</v>
      </c>
      <c r="M607" s="343">
        <v>2020</v>
      </c>
      <c r="N607" s="344">
        <v>4111919.51</v>
      </c>
      <c r="O607" s="345">
        <v>43370</v>
      </c>
      <c r="P607" s="345">
        <v>43370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8</v>
      </c>
      <c r="M608" s="343">
        <v>2026</v>
      </c>
      <c r="N608" s="344">
        <v>0</v>
      </c>
      <c r="O608" s="345">
        <v>43370</v>
      </c>
      <c r="P608" s="345">
        <v>43370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7</v>
      </c>
      <c r="M609" s="343">
        <v>2025</v>
      </c>
      <c r="N609" s="344">
        <v>0</v>
      </c>
      <c r="O609" s="345">
        <v>43370</v>
      </c>
      <c r="P609" s="345">
        <v>43370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5</v>
      </c>
      <c r="M610" s="343">
        <v>2023</v>
      </c>
      <c r="N610" s="344">
        <v>0</v>
      </c>
      <c r="O610" s="345">
        <v>43370</v>
      </c>
      <c r="P610" s="345">
        <v>43370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0</v>
      </c>
      <c r="M611" s="343">
        <v>2018</v>
      </c>
      <c r="N611" s="344">
        <v>4289870.71</v>
      </c>
      <c r="O611" s="345">
        <v>43370</v>
      </c>
      <c r="P611" s="345">
        <v>43370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6</v>
      </c>
      <c r="M612" s="343">
        <v>2024</v>
      </c>
      <c r="N612" s="344">
        <v>0</v>
      </c>
      <c r="O612" s="345">
        <v>43370</v>
      </c>
      <c r="P612" s="345">
        <v>43370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4</v>
      </c>
      <c r="M613" s="343">
        <v>2022</v>
      </c>
      <c r="N613" s="344">
        <v>0</v>
      </c>
      <c r="O613" s="345">
        <v>43370</v>
      </c>
      <c r="P613" s="345">
        <v>43370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1</v>
      </c>
      <c r="M614" s="343">
        <v>2019</v>
      </c>
      <c r="N614" s="344">
        <v>5872632.01</v>
      </c>
      <c r="O614" s="345">
        <v>43370</v>
      </c>
      <c r="P614" s="345">
        <v>43370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3</v>
      </c>
      <c r="M615" s="343">
        <v>2021</v>
      </c>
      <c r="N615" s="344">
        <v>0</v>
      </c>
      <c r="O615" s="345">
        <v>43370</v>
      </c>
      <c r="P615" s="345">
        <v>43370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5</v>
      </c>
      <c r="M616" s="343">
        <v>2023</v>
      </c>
      <c r="N616" s="344">
        <v>0</v>
      </c>
      <c r="O616" s="345">
        <v>43370</v>
      </c>
      <c r="P616" s="345">
        <v>43370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3</v>
      </c>
      <c r="M617" s="343">
        <v>2021</v>
      </c>
      <c r="N617" s="344">
        <v>0</v>
      </c>
      <c r="O617" s="345">
        <v>43370</v>
      </c>
      <c r="P617" s="345">
        <v>43370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2</v>
      </c>
      <c r="M618" s="343">
        <v>2020</v>
      </c>
      <c r="N618" s="344">
        <v>14960</v>
      </c>
      <c r="O618" s="345">
        <v>43370</v>
      </c>
      <c r="P618" s="345">
        <v>43370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0</v>
      </c>
      <c r="M619" s="343">
        <v>2018</v>
      </c>
      <c r="N619" s="344">
        <v>91600.46</v>
      </c>
      <c r="O619" s="345">
        <v>43370</v>
      </c>
      <c r="P619" s="345">
        <v>43370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6</v>
      </c>
      <c r="M620" s="343">
        <v>2024</v>
      </c>
      <c r="N620" s="344">
        <v>0</v>
      </c>
      <c r="O620" s="345">
        <v>43370</v>
      </c>
      <c r="P620" s="345">
        <v>43370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8</v>
      </c>
      <c r="M621" s="343">
        <v>2026</v>
      </c>
      <c r="N621" s="344">
        <v>0</v>
      </c>
      <c r="O621" s="345">
        <v>43370</v>
      </c>
      <c r="P621" s="345">
        <v>43370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7</v>
      </c>
      <c r="M622" s="343">
        <v>2025</v>
      </c>
      <c r="N622" s="344">
        <v>0</v>
      </c>
      <c r="O622" s="345">
        <v>43370</v>
      </c>
      <c r="P622" s="345">
        <v>43370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4</v>
      </c>
      <c r="M623" s="343">
        <v>2022</v>
      </c>
      <c r="N623" s="344">
        <v>0</v>
      </c>
      <c r="O623" s="345">
        <v>43370</v>
      </c>
      <c r="P623" s="345">
        <v>43370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1</v>
      </c>
      <c r="M624" s="343">
        <v>2019</v>
      </c>
      <c r="N624" s="344">
        <v>51843.64</v>
      </c>
      <c r="O624" s="345">
        <v>43370</v>
      </c>
      <c r="P624" s="345">
        <v>43370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6</v>
      </c>
      <c r="M625" s="343">
        <v>2024</v>
      </c>
      <c r="N625" s="344">
        <v>0</v>
      </c>
      <c r="O625" s="345">
        <v>43370</v>
      </c>
      <c r="P625" s="345">
        <v>43370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7</v>
      </c>
      <c r="M626" s="343">
        <v>2025</v>
      </c>
      <c r="N626" s="344">
        <v>0</v>
      </c>
      <c r="O626" s="345">
        <v>43370</v>
      </c>
      <c r="P626" s="345">
        <v>43370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0</v>
      </c>
      <c r="M627" s="343">
        <v>2018</v>
      </c>
      <c r="N627" s="344">
        <v>0</v>
      </c>
      <c r="O627" s="345">
        <v>43370</v>
      </c>
      <c r="P627" s="345">
        <v>43370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8</v>
      </c>
      <c r="M628" s="343">
        <v>2026</v>
      </c>
      <c r="N628" s="344">
        <v>0</v>
      </c>
      <c r="O628" s="345">
        <v>43370</v>
      </c>
      <c r="P628" s="345">
        <v>43370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4</v>
      </c>
      <c r="M629" s="343">
        <v>2022</v>
      </c>
      <c r="N629" s="344">
        <v>0</v>
      </c>
      <c r="O629" s="345">
        <v>43370</v>
      </c>
      <c r="P629" s="345">
        <v>43370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1</v>
      </c>
      <c r="M630" s="343">
        <v>2019</v>
      </c>
      <c r="N630" s="344">
        <v>0</v>
      </c>
      <c r="O630" s="345">
        <v>43370</v>
      </c>
      <c r="P630" s="345">
        <v>43370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5</v>
      </c>
      <c r="M631" s="343">
        <v>2023</v>
      </c>
      <c r="N631" s="344">
        <v>0</v>
      </c>
      <c r="O631" s="345">
        <v>43370</v>
      </c>
      <c r="P631" s="345">
        <v>43370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3</v>
      </c>
      <c r="M632" s="343">
        <v>2021</v>
      </c>
      <c r="N632" s="344">
        <v>0</v>
      </c>
      <c r="O632" s="345">
        <v>43370</v>
      </c>
      <c r="P632" s="345">
        <v>43370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2</v>
      </c>
      <c r="M633" s="343">
        <v>2020</v>
      </c>
      <c r="N633" s="344">
        <v>0</v>
      </c>
      <c r="O633" s="345">
        <v>43370</v>
      </c>
      <c r="P633" s="345">
        <v>43370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0</v>
      </c>
      <c r="M634" s="343">
        <v>2018</v>
      </c>
      <c r="N634" s="344">
        <v>3110896.52</v>
      </c>
      <c r="O634" s="345">
        <v>43370</v>
      </c>
      <c r="P634" s="345">
        <v>43370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3</v>
      </c>
      <c r="M635" s="343">
        <v>2021</v>
      </c>
      <c r="N635" s="344">
        <v>5600000</v>
      </c>
      <c r="O635" s="345">
        <v>43370</v>
      </c>
      <c r="P635" s="345">
        <v>43370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2020</v>
      </c>
      <c r="N636" s="344">
        <v>4600000</v>
      </c>
      <c r="O636" s="345">
        <v>43370</v>
      </c>
      <c r="P636" s="345">
        <v>43370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4</v>
      </c>
      <c r="M637" s="343">
        <v>2022</v>
      </c>
      <c r="N637" s="344">
        <v>6600000</v>
      </c>
      <c r="O637" s="345">
        <v>43370</v>
      </c>
      <c r="P637" s="345">
        <v>43370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7</v>
      </c>
      <c r="M638" s="343">
        <v>2025</v>
      </c>
      <c r="N638" s="344">
        <v>9600000</v>
      </c>
      <c r="O638" s="345">
        <v>43370</v>
      </c>
      <c r="P638" s="345">
        <v>43370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1</v>
      </c>
      <c r="M639" s="343">
        <v>2019</v>
      </c>
      <c r="N639" s="344">
        <v>3600000</v>
      </c>
      <c r="O639" s="345">
        <v>43370</v>
      </c>
      <c r="P639" s="345">
        <v>43370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2023</v>
      </c>
      <c r="N640" s="344">
        <v>7600000</v>
      </c>
      <c r="O640" s="345">
        <v>43370</v>
      </c>
      <c r="P640" s="345">
        <v>43370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8</v>
      </c>
      <c r="M641" s="343">
        <v>2026</v>
      </c>
      <c r="N641" s="344">
        <v>10600000</v>
      </c>
      <c r="O641" s="345">
        <v>43370</v>
      </c>
      <c r="P641" s="345">
        <v>43370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6</v>
      </c>
      <c r="M642" s="343">
        <v>2024</v>
      </c>
      <c r="N642" s="344">
        <v>8600000</v>
      </c>
      <c r="O642" s="345">
        <v>43370</v>
      </c>
      <c r="P642" s="345">
        <v>43370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4</v>
      </c>
      <c r="M643" s="343">
        <v>2022</v>
      </c>
      <c r="N643" s="344">
        <v>0</v>
      </c>
      <c r="O643" s="345">
        <v>43370</v>
      </c>
      <c r="P643" s="345">
        <v>43370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0</v>
      </c>
      <c r="M644" s="343">
        <v>2018</v>
      </c>
      <c r="N644" s="344">
        <v>77546.33</v>
      </c>
      <c r="O644" s="345">
        <v>43370</v>
      </c>
      <c r="P644" s="345">
        <v>43370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2</v>
      </c>
      <c r="M645" s="343">
        <v>2020</v>
      </c>
      <c r="N645" s="344">
        <v>24300</v>
      </c>
      <c r="O645" s="345">
        <v>43370</v>
      </c>
      <c r="P645" s="345">
        <v>43370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5</v>
      </c>
      <c r="M646" s="343">
        <v>2023</v>
      </c>
      <c r="N646" s="344">
        <v>0</v>
      </c>
      <c r="O646" s="345">
        <v>43370</v>
      </c>
      <c r="P646" s="345">
        <v>43370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2021</v>
      </c>
      <c r="N647" s="344">
        <v>0</v>
      </c>
      <c r="O647" s="345">
        <v>43370</v>
      </c>
      <c r="P647" s="345">
        <v>43370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6</v>
      </c>
      <c r="M648" s="343">
        <v>2024</v>
      </c>
      <c r="N648" s="344">
        <v>0</v>
      </c>
      <c r="O648" s="345">
        <v>43370</v>
      </c>
      <c r="P648" s="345">
        <v>43370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1</v>
      </c>
      <c r="M649" s="343">
        <v>2019</v>
      </c>
      <c r="N649" s="344">
        <v>71083.64</v>
      </c>
      <c r="O649" s="345">
        <v>43370</v>
      </c>
      <c r="P649" s="345">
        <v>43370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8</v>
      </c>
      <c r="M650" s="343">
        <v>2026</v>
      </c>
      <c r="N650" s="344">
        <v>0</v>
      </c>
      <c r="O650" s="345">
        <v>43370</v>
      </c>
      <c r="P650" s="345">
        <v>43370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7</v>
      </c>
      <c r="M651" s="343">
        <v>2025</v>
      </c>
      <c r="N651" s="344">
        <v>0</v>
      </c>
      <c r="O651" s="345">
        <v>43370</v>
      </c>
      <c r="P651" s="345">
        <v>43370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4</v>
      </c>
      <c r="M652" s="343">
        <v>2022</v>
      </c>
      <c r="N652" s="344">
        <v>47349996</v>
      </c>
      <c r="O652" s="345">
        <v>43370</v>
      </c>
      <c r="P652" s="345">
        <v>43370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5</v>
      </c>
      <c r="M653" s="343">
        <v>2023</v>
      </c>
      <c r="N653" s="344">
        <v>48682000</v>
      </c>
      <c r="O653" s="345">
        <v>43370</v>
      </c>
      <c r="P653" s="345">
        <v>43370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2019</v>
      </c>
      <c r="N654" s="344">
        <v>52107996</v>
      </c>
      <c r="O654" s="345">
        <v>43370</v>
      </c>
      <c r="P654" s="345">
        <v>43370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7</v>
      </c>
      <c r="M655" s="343">
        <v>2025</v>
      </c>
      <c r="N655" s="344">
        <v>53100000</v>
      </c>
      <c r="O655" s="345">
        <v>43370</v>
      </c>
      <c r="P655" s="345">
        <v>43370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6</v>
      </c>
      <c r="M656" s="343">
        <v>2024</v>
      </c>
      <c r="N656" s="344">
        <v>51350000</v>
      </c>
      <c r="O656" s="345">
        <v>43370</v>
      </c>
      <c r="P656" s="345">
        <v>43370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3</v>
      </c>
      <c r="M657" s="343">
        <v>2021</v>
      </c>
      <c r="N657" s="344">
        <v>45889996</v>
      </c>
      <c r="O657" s="345">
        <v>43370</v>
      </c>
      <c r="P657" s="345">
        <v>43370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8</v>
      </c>
      <c r="M658" s="343">
        <v>2026</v>
      </c>
      <c r="N658" s="344">
        <v>55068066.27</v>
      </c>
      <c r="O658" s="345">
        <v>43370</v>
      </c>
      <c r="P658" s="345">
        <v>43370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0</v>
      </c>
      <c r="M659" s="343">
        <v>2018</v>
      </c>
      <c r="N659" s="344">
        <v>59943718.84</v>
      </c>
      <c r="O659" s="345">
        <v>43370</v>
      </c>
      <c r="P659" s="345">
        <v>43370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2</v>
      </c>
      <c r="M660" s="343">
        <v>2020</v>
      </c>
      <c r="N660" s="344">
        <v>46968758.71</v>
      </c>
      <c r="O660" s="345">
        <v>43370</v>
      </c>
      <c r="P660" s="345">
        <v>43370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5</v>
      </c>
      <c r="M661" s="343">
        <v>2023</v>
      </c>
      <c r="N661" s="344">
        <v>0.1143</v>
      </c>
      <c r="O661" s="345">
        <v>43370</v>
      </c>
      <c r="P661" s="345">
        <v>43370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3</v>
      </c>
      <c r="M662" s="343">
        <v>2021</v>
      </c>
      <c r="N662" s="344">
        <v>0.1111</v>
      </c>
      <c r="O662" s="345">
        <v>43370</v>
      </c>
      <c r="P662" s="345">
        <v>43370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4</v>
      </c>
      <c r="M663" s="343">
        <v>2022</v>
      </c>
      <c r="N663" s="344">
        <v>0.1228</v>
      </c>
      <c r="O663" s="345">
        <v>43370</v>
      </c>
      <c r="P663" s="345">
        <v>43370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8</v>
      </c>
      <c r="M664" s="343">
        <v>2026</v>
      </c>
      <c r="N664" s="344">
        <v>0.1632</v>
      </c>
      <c r="O664" s="345">
        <v>43370</v>
      </c>
      <c r="P664" s="345">
        <v>43370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7</v>
      </c>
      <c r="M665" s="343">
        <v>2025</v>
      </c>
      <c r="N665" s="344">
        <v>0.1484</v>
      </c>
      <c r="O665" s="345">
        <v>43370</v>
      </c>
      <c r="P665" s="345">
        <v>43370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0</v>
      </c>
      <c r="M666" s="343">
        <v>2018</v>
      </c>
      <c r="N666" s="344">
        <v>0.0737</v>
      </c>
      <c r="O666" s="345">
        <v>43370</v>
      </c>
      <c r="P666" s="345">
        <v>43370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1</v>
      </c>
      <c r="M667" s="343">
        <v>2019</v>
      </c>
      <c r="N667" s="344">
        <v>0.0767</v>
      </c>
      <c r="O667" s="345">
        <v>43370</v>
      </c>
      <c r="P667" s="345">
        <v>43370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2</v>
      </c>
      <c r="M668" s="343">
        <v>2020</v>
      </c>
      <c r="N668" s="344">
        <v>0.1038</v>
      </c>
      <c r="O668" s="345">
        <v>43370</v>
      </c>
      <c r="P668" s="345">
        <v>43370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6</v>
      </c>
      <c r="M669" s="343">
        <v>2024</v>
      </c>
      <c r="N669" s="344">
        <v>0.1327</v>
      </c>
      <c r="O669" s="345">
        <v>43370</v>
      </c>
      <c r="P669" s="345">
        <v>43370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3</v>
      </c>
      <c r="M670" s="343">
        <v>2021</v>
      </c>
      <c r="N670" s="344">
        <v>310000</v>
      </c>
      <c r="O670" s="345">
        <v>43370</v>
      </c>
      <c r="P670" s="345">
        <v>43370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0</v>
      </c>
      <c r="M671" s="343">
        <v>2018</v>
      </c>
      <c r="N671" s="344">
        <v>435000</v>
      </c>
      <c r="O671" s="345">
        <v>43370</v>
      </c>
      <c r="P671" s="345">
        <v>43370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5</v>
      </c>
      <c r="M672" s="343">
        <v>2023</v>
      </c>
      <c r="N672" s="344">
        <v>220000</v>
      </c>
      <c r="O672" s="345">
        <v>43370</v>
      </c>
      <c r="P672" s="345">
        <v>43370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8</v>
      </c>
      <c r="M673" s="343">
        <v>2026</v>
      </c>
      <c r="N673" s="344">
        <v>90000</v>
      </c>
      <c r="O673" s="345">
        <v>43370</v>
      </c>
      <c r="P673" s="345">
        <v>43370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2</v>
      </c>
      <c r="M674" s="343">
        <v>2020</v>
      </c>
      <c r="N674" s="344">
        <v>360000</v>
      </c>
      <c r="O674" s="345">
        <v>43370</v>
      </c>
      <c r="P674" s="345">
        <v>43370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2019</v>
      </c>
      <c r="N675" s="344">
        <v>400000</v>
      </c>
      <c r="O675" s="345">
        <v>43370</v>
      </c>
      <c r="P675" s="345">
        <v>43370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4</v>
      </c>
      <c r="M676" s="343">
        <v>2022</v>
      </c>
      <c r="N676" s="344">
        <v>270000</v>
      </c>
      <c r="O676" s="345">
        <v>43370</v>
      </c>
      <c r="P676" s="345">
        <v>43370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6</v>
      </c>
      <c r="M677" s="343">
        <v>2024</v>
      </c>
      <c r="N677" s="344">
        <v>180000</v>
      </c>
      <c r="O677" s="345">
        <v>43370</v>
      </c>
      <c r="P677" s="345">
        <v>43370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7</v>
      </c>
      <c r="M678" s="343">
        <v>2025</v>
      </c>
      <c r="N678" s="344">
        <v>130000</v>
      </c>
      <c r="O678" s="345">
        <v>43370</v>
      </c>
      <c r="P678" s="345">
        <v>43370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3</v>
      </c>
      <c r="M679" s="343">
        <v>2021</v>
      </c>
      <c r="N679" s="344">
        <v>0</v>
      </c>
      <c r="O679" s="345">
        <v>43370</v>
      </c>
      <c r="P679" s="345">
        <v>43370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2018</v>
      </c>
      <c r="N680" s="344">
        <v>2970368.09</v>
      </c>
      <c r="O680" s="345">
        <v>43370</v>
      </c>
      <c r="P680" s="345">
        <v>43370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2</v>
      </c>
      <c r="M681" s="343">
        <v>2020</v>
      </c>
      <c r="N681" s="344">
        <v>1801250.1</v>
      </c>
      <c r="O681" s="345">
        <v>43370</v>
      </c>
      <c r="P681" s="345">
        <v>43370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4</v>
      </c>
      <c r="M682" s="343">
        <v>2022</v>
      </c>
      <c r="N682" s="344">
        <v>0</v>
      </c>
      <c r="O682" s="345">
        <v>43370</v>
      </c>
      <c r="P682" s="345">
        <v>43370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8</v>
      </c>
      <c r="M683" s="343">
        <v>2026</v>
      </c>
      <c r="N683" s="344">
        <v>0</v>
      </c>
      <c r="O683" s="345">
        <v>43370</v>
      </c>
      <c r="P683" s="345">
        <v>43370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5</v>
      </c>
      <c r="M684" s="343">
        <v>2023</v>
      </c>
      <c r="N684" s="344">
        <v>0</v>
      </c>
      <c r="O684" s="345">
        <v>43370</v>
      </c>
      <c r="P684" s="345">
        <v>43370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1</v>
      </c>
      <c r="M685" s="343">
        <v>2019</v>
      </c>
      <c r="N685" s="344">
        <v>2968000</v>
      </c>
      <c r="O685" s="345">
        <v>43370</v>
      </c>
      <c r="P685" s="345">
        <v>43370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6</v>
      </c>
      <c r="M686" s="343">
        <v>2024</v>
      </c>
      <c r="N686" s="344">
        <v>0</v>
      </c>
      <c r="O686" s="345">
        <v>43370</v>
      </c>
      <c r="P686" s="345">
        <v>43370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2025</v>
      </c>
      <c r="N687" s="344">
        <v>0</v>
      </c>
      <c r="O687" s="345">
        <v>43370</v>
      </c>
      <c r="P687" s="345">
        <v>43370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3</v>
      </c>
      <c r="M688" s="343">
        <v>2021</v>
      </c>
      <c r="N688" s="344">
        <v>2210004</v>
      </c>
      <c r="O688" s="345">
        <v>43370</v>
      </c>
      <c r="P688" s="345">
        <v>43370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5</v>
      </c>
      <c r="M689" s="343">
        <v>2023</v>
      </c>
      <c r="N689" s="344">
        <v>2418000</v>
      </c>
      <c r="O689" s="345">
        <v>43370</v>
      </c>
      <c r="P689" s="345">
        <v>43370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1</v>
      </c>
      <c r="M690" s="343">
        <v>2019</v>
      </c>
      <c r="N690" s="344">
        <v>1860004</v>
      </c>
      <c r="O690" s="345">
        <v>43370</v>
      </c>
      <c r="P690" s="345">
        <v>43370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0</v>
      </c>
      <c r="M691" s="343">
        <v>2018</v>
      </c>
      <c r="N691" s="344">
        <v>1678204</v>
      </c>
      <c r="O691" s="345">
        <v>43370</v>
      </c>
      <c r="P691" s="345">
        <v>43370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2024</v>
      </c>
      <c r="N692" s="344">
        <v>1250000</v>
      </c>
      <c r="O692" s="345">
        <v>43370</v>
      </c>
      <c r="P692" s="345">
        <v>43370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2</v>
      </c>
      <c r="M693" s="343">
        <v>2020</v>
      </c>
      <c r="N693" s="344">
        <v>2210004</v>
      </c>
      <c r="O693" s="345">
        <v>43370</v>
      </c>
      <c r="P693" s="345">
        <v>43370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8</v>
      </c>
      <c r="M694" s="343">
        <v>2026</v>
      </c>
      <c r="N694" s="344">
        <v>531933.73</v>
      </c>
      <c r="O694" s="345">
        <v>43370</v>
      </c>
      <c r="P694" s="345">
        <v>43370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4</v>
      </c>
      <c r="M695" s="343">
        <v>2022</v>
      </c>
      <c r="N695" s="344">
        <v>2250004</v>
      </c>
      <c r="O695" s="345">
        <v>43370</v>
      </c>
      <c r="P695" s="345">
        <v>43370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7</v>
      </c>
      <c r="M696" s="343">
        <v>2025</v>
      </c>
      <c r="N696" s="344">
        <v>1000000</v>
      </c>
      <c r="O696" s="345">
        <v>43370</v>
      </c>
      <c r="P696" s="345">
        <v>43370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3</v>
      </c>
      <c r="M697" s="343">
        <v>2021</v>
      </c>
      <c r="N697" s="344">
        <v>15200000</v>
      </c>
      <c r="O697" s="345">
        <v>43370</v>
      </c>
      <c r="P697" s="345">
        <v>43370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2</v>
      </c>
      <c r="M698" s="343">
        <v>2020</v>
      </c>
      <c r="N698" s="344">
        <v>14800000</v>
      </c>
      <c r="O698" s="345">
        <v>43370</v>
      </c>
      <c r="P698" s="345">
        <v>43370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4</v>
      </c>
      <c r="M699" s="343">
        <v>2022</v>
      </c>
      <c r="N699" s="344">
        <v>0</v>
      </c>
      <c r="O699" s="345">
        <v>43370</v>
      </c>
      <c r="P699" s="345">
        <v>43370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8</v>
      </c>
      <c r="M700" s="343">
        <v>2026</v>
      </c>
      <c r="N700" s="344">
        <v>0</v>
      </c>
      <c r="O700" s="345">
        <v>43370</v>
      </c>
      <c r="P700" s="345">
        <v>43370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5</v>
      </c>
      <c r="M701" s="343">
        <v>2023</v>
      </c>
      <c r="N701" s="344">
        <v>0</v>
      </c>
      <c r="O701" s="345">
        <v>43370</v>
      </c>
      <c r="P701" s="345">
        <v>43370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0</v>
      </c>
      <c r="M702" s="343">
        <v>2018</v>
      </c>
      <c r="N702" s="344">
        <v>14385163.06</v>
      </c>
      <c r="O702" s="345">
        <v>43370</v>
      </c>
      <c r="P702" s="345">
        <v>43370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2019</v>
      </c>
      <c r="N703" s="344">
        <v>14400000</v>
      </c>
      <c r="O703" s="345">
        <v>43370</v>
      </c>
      <c r="P703" s="345">
        <v>43370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6</v>
      </c>
      <c r="M704" s="343">
        <v>2024</v>
      </c>
      <c r="N704" s="344">
        <v>0</v>
      </c>
      <c r="O704" s="345">
        <v>43370</v>
      </c>
      <c r="P704" s="345">
        <v>43370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7</v>
      </c>
      <c r="M705" s="343">
        <v>2025</v>
      </c>
      <c r="N705" s="344">
        <v>0</v>
      </c>
      <c r="O705" s="345">
        <v>43370</v>
      </c>
      <c r="P705" s="345">
        <v>43370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8</v>
      </c>
      <c r="M706" s="343">
        <v>2026</v>
      </c>
      <c r="N706" s="344">
        <v>0</v>
      </c>
      <c r="O706" s="345">
        <v>43370</v>
      </c>
      <c r="P706" s="345">
        <v>43370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0</v>
      </c>
      <c r="M707" s="343">
        <v>2018</v>
      </c>
      <c r="N707" s="344">
        <v>4289870.71</v>
      </c>
      <c r="O707" s="345">
        <v>43370</v>
      </c>
      <c r="P707" s="345">
        <v>43370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2021</v>
      </c>
      <c r="N708" s="344">
        <v>0</v>
      </c>
      <c r="O708" s="345">
        <v>43370</v>
      </c>
      <c r="P708" s="345">
        <v>43370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4</v>
      </c>
      <c r="M709" s="343">
        <v>2022</v>
      </c>
      <c r="N709" s="344">
        <v>0</v>
      </c>
      <c r="O709" s="345">
        <v>43370</v>
      </c>
      <c r="P709" s="345">
        <v>43370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5</v>
      </c>
      <c r="M710" s="343">
        <v>2023</v>
      </c>
      <c r="N710" s="344">
        <v>0</v>
      </c>
      <c r="O710" s="345">
        <v>43370</v>
      </c>
      <c r="P710" s="345">
        <v>43370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1</v>
      </c>
      <c r="M711" s="343">
        <v>2019</v>
      </c>
      <c r="N711" s="344">
        <v>5872632.01</v>
      </c>
      <c r="O711" s="345">
        <v>43370</v>
      </c>
      <c r="P711" s="345">
        <v>43370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7</v>
      </c>
      <c r="M712" s="343">
        <v>2025</v>
      </c>
      <c r="N712" s="344">
        <v>0</v>
      </c>
      <c r="O712" s="345">
        <v>43370</v>
      </c>
      <c r="P712" s="345">
        <v>43370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2</v>
      </c>
      <c r="M713" s="343">
        <v>2020</v>
      </c>
      <c r="N713" s="344">
        <v>4111919.51</v>
      </c>
      <c r="O713" s="345">
        <v>43370</v>
      </c>
      <c r="P713" s="345">
        <v>43370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2024</v>
      </c>
      <c r="N714" s="344">
        <v>0</v>
      </c>
      <c r="O714" s="345">
        <v>43370</v>
      </c>
      <c r="P714" s="345">
        <v>43370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1</v>
      </c>
      <c r="M715" s="343">
        <v>2019</v>
      </c>
      <c r="N715" s="344">
        <v>0</v>
      </c>
      <c r="O715" s="345">
        <v>43370</v>
      </c>
      <c r="P715" s="345">
        <v>43370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5</v>
      </c>
      <c r="M716" s="343">
        <v>2023</v>
      </c>
      <c r="N716" s="344">
        <v>0</v>
      </c>
      <c r="O716" s="345">
        <v>43370</v>
      </c>
      <c r="P716" s="345">
        <v>43370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2</v>
      </c>
      <c r="M717" s="343">
        <v>2020</v>
      </c>
      <c r="N717" s="344">
        <v>0</v>
      </c>
      <c r="O717" s="345">
        <v>43370</v>
      </c>
      <c r="P717" s="345">
        <v>43370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8</v>
      </c>
      <c r="M718" s="343">
        <v>2026</v>
      </c>
      <c r="N718" s="344">
        <v>0</v>
      </c>
      <c r="O718" s="345">
        <v>43370</v>
      </c>
      <c r="P718" s="345">
        <v>43370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7</v>
      </c>
      <c r="M719" s="343">
        <v>2025</v>
      </c>
      <c r="N719" s="344">
        <v>0</v>
      </c>
      <c r="O719" s="345">
        <v>43370</v>
      </c>
      <c r="P719" s="345">
        <v>43370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0</v>
      </c>
      <c r="M720" s="343">
        <v>2018</v>
      </c>
      <c r="N720" s="344">
        <v>11769333.95</v>
      </c>
      <c r="O720" s="345">
        <v>43370</v>
      </c>
      <c r="P720" s="345">
        <v>43370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4</v>
      </c>
      <c r="M721" s="343">
        <v>2022</v>
      </c>
      <c r="N721" s="344">
        <v>0</v>
      </c>
      <c r="O721" s="345">
        <v>43370</v>
      </c>
      <c r="P721" s="345">
        <v>43370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3</v>
      </c>
      <c r="M722" s="343">
        <v>2021</v>
      </c>
      <c r="N722" s="344">
        <v>0</v>
      </c>
      <c r="O722" s="345">
        <v>43370</v>
      </c>
      <c r="P722" s="345">
        <v>43370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2024</v>
      </c>
      <c r="N723" s="344">
        <v>0</v>
      </c>
      <c r="O723" s="345">
        <v>43370</v>
      </c>
      <c r="P723" s="345">
        <v>43370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3</v>
      </c>
      <c r="M724" s="343">
        <v>2021</v>
      </c>
      <c r="N724" s="344">
        <v>0</v>
      </c>
      <c r="O724" s="345">
        <v>43370</v>
      </c>
      <c r="P724" s="345">
        <v>43370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0</v>
      </c>
      <c r="M725" s="343">
        <v>2018</v>
      </c>
      <c r="N725" s="344">
        <v>0</v>
      </c>
      <c r="O725" s="345">
        <v>43370</v>
      </c>
      <c r="P725" s="345">
        <v>43370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4</v>
      </c>
      <c r="M726" s="343">
        <v>2022</v>
      </c>
      <c r="N726" s="344">
        <v>0</v>
      </c>
      <c r="O726" s="345">
        <v>43370</v>
      </c>
      <c r="P726" s="345">
        <v>43370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7</v>
      </c>
      <c r="M727" s="343">
        <v>2025</v>
      </c>
      <c r="N727" s="344">
        <v>0</v>
      </c>
      <c r="O727" s="345">
        <v>43370</v>
      </c>
      <c r="P727" s="345">
        <v>43370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2</v>
      </c>
      <c r="M728" s="343">
        <v>2020</v>
      </c>
      <c r="N728" s="344">
        <v>0</v>
      </c>
      <c r="O728" s="345">
        <v>43370</v>
      </c>
      <c r="P728" s="345">
        <v>43370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2023</v>
      </c>
      <c r="N729" s="344">
        <v>0</v>
      </c>
      <c r="O729" s="345">
        <v>43370</v>
      </c>
      <c r="P729" s="345">
        <v>43370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6</v>
      </c>
      <c r="M730" s="343">
        <v>2024</v>
      </c>
      <c r="N730" s="344">
        <v>0</v>
      </c>
      <c r="O730" s="345">
        <v>43370</v>
      </c>
      <c r="P730" s="345">
        <v>43370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1</v>
      </c>
      <c r="M731" s="343">
        <v>2019</v>
      </c>
      <c r="N731" s="344">
        <v>0</v>
      </c>
      <c r="O731" s="345">
        <v>43370</v>
      </c>
      <c r="P731" s="345">
        <v>43370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8</v>
      </c>
      <c r="M732" s="343">
        <v>2026</v>
      </c>
      <c r="N732" s="344">
        <v>0</v>
      </c>
      <c r="O732" s="345">
        <v>43370</v>
      </c>
      <c r="P732" s="345">
        <v>43370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4</v>
      </c>
      <c r="M733" s="343">
        <v>2022</v>
      </c>
      <c r="N733" s="344">
        <v>0</v>
      </c>
      <c r="O733" s="345">
        <v>43370</v>
      </c>
      <c r="P733" s="345">
        <v>43370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1</v>
      </c>
      <c r="M734" s="343">
        <v>2019</v>
      </c>
      <c r="N734" s="344">
        <v>0</v>
      </c>
      <c r="O734" s="345">
        <v>43370</v>
      </c>
      <c r="P734" s="345">
        <v>43370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3</v>
      </c>
      <c r="M735" s="343">
        <v>2021</v>
      </c>
      <c r="N735" s="344">
        <v>0</v>
      </c>
      <c r="O735" s="345">
        <v>43370</v>
      </c>
      <c r="P735" s="345">
        <v>43370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7</v>
      </c>
      <c r="M736" s="343">
        <v>2025</v>
      </c>
      <c r="N736" s="344">
        <v>0</v>
      </c>
      <c r="O736" s="345">
        <v>43370</v>
      </c>
      <c r="P736" s="345">
        <v>43370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2</v>
      </c>
      <c r="M737" s="343">
        <v>2020</v>
      </c>
      <c r="N737" s="344">
        <v>0</v>
      </c>
      <c r="O737" s="345">
        <v>43370</v>
      </c>
      <c r="P737" s="345">
        <v>43370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8</v>
      </c>
      <c r="M738" s="343">
        <v>2026</v>
      </c>
      <c r="N738" s="344">
        <v>0</v>
      </c>
      <c r="O738" s="345">
        <v>43370</v>
      </c>
      <c r="P738" s="345">
        <v>43370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5</v>
      </c>
      <c r="M739" s="343">
        <v>2023</v>
      </c>
      <c r="N739" s="344">
        <v>0</v>
      </c>
      <c r="O739" s="345">
        <v>43370</v>
      </c>
      <c r="P739" s="345">
        <v>43370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6</v>
      </c>
      <c r="M740" s="343">
        <v>2024</v>
      </c>
      <c r="N740" s="344">
        <v>0</v>
      </c>
      <c r="O740" s="345">
        <v>43370</v>
      </c>
      <c r="P740" s="345">
        <v>43370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0</v>
      </c>
      <c r="M741" s="343">
        <v>2018</v>
      </c>
      <c r="N741" s="344">
        <v>0</v>
      </c>
      <c r="O741" s="345">
        <v>43370</v>
      </c>
      <c r="P741" s="345">
        <v>43370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1</v>
      </c>
      <c r="M742" s="343">
        <v>2019</v>
      </c>
      <c r="N742" s="344">
        <v>0</v>
      </c>
      <c r="O742" s="345">
        <v>43370</v>
      </c>
      <c r="P742" s="345">
        <v>43370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3</v>
      </c>
      <c r="M743" s="343">
        <v>2021</v>
      </c>
      <c r="N743" s="344">
        <v>0</v>
      </c>
      <c r="O743" s="345">
        <v>43370</v>
      </c>
      <c r="P743" s="345">
        <v>43370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5</v>
      </c>
      <c r="M744" s="343">
        <v>2023</v>
      </c>
      <c r="N744" s="344">
        <v>0</v>
      </c>
      <c r="O744" s="345">
        <v>43370</v>
      </c>
      <c r="P744" s="345">
        <v>43370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2</v>
      </c>
      <c r="M745" s="343">
        <v>2020</v>
      </c>
      <c r="N745" s="344">
        <v>0</v>
      </c>
      <c r="O745" s="345">
        <v>43370</v>
      </c>
      <c r="P745" s="345">
        <v>43370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8</v>
      </c>
      <c r="M746" s="343">
        <v>2026</v>
      </c>
      <c r="N746" s="344">
        <v>0</v>
      </c>
      <c r="O746" s="345">
        <v>43370</v>
      </c>
      <c r="P746" s="345">
        <v>43370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2018</v>
      </c>
      <c r="N747" s="344">
        <v>0</v>
      </c>
      <c r="O747" s="345">
        <v>43370</v>
      </c>
      <c r="P747" s="345">
        <v>43370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7</v>
      </c>
      <c r="M748" s="343">
        <v>2025</v>
      </c>
      <c r="N748" s="344">
        <v>0</v>
      </c>
      <c r="O748" s="345">
        <v>43370</v>
      </c>
      <c r="P748" s="345">
        <v>43370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4</v>
      </c>
      <c r="M749" s="343">
        <v>2022</v>
      </c>
      <c r="N749" s="344">
        <v>0</v>
      </c>
      <c r="O749" s="345">
        <v>43370</v>
      </c>
      <c r="P749" s="345">
        <v>43370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6</v>
      </c>
      <c r="M750" s="343">
        <v>2024</v>
      </c>
      <c r="N750" s="344">
        <v>0</v>
      </c>
      <c r="O750" s="345">
        <v>43370</v>
      </c>
      <c r="P750" s="345">
        <v>43370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8</v>
      </c>
      <c r="M751" s="343">
        <v>2026</v>
      </c>
      <c r="N751" s="344">
        <v>0</v>
      </c>
      <c r="O751" s="345">
        <v>43370</v>
      </c>
      <c r="P751" s="345">
        <v>43370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5</v>
      </c>
      <c r="M752" s="343">
        <v>2023</v>
      </c>
      <c r="N752" s="344">
        <v>0</v>
      </c>
      <c r="O752" s="345">
        <v>43370</v>
      </c>
      <c r="P752" s="345">
        <v>43370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0</v>
      </c>
      <c r="M753" s="343">
        <v>2018</v>
      </c>
      <c r="N753" s="344">
        <v>0</v>
      </c>
      <c r="O753" s="345">
        <v>43370</v>
      </c>
      <c r="P753" s="345">
        <v>43370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7</v>
      </c>
      <c r="M754" s="343">
        <v>2025</v>
      </c>
      <c r="N754" s="344">
        <v>0</v>
      </c>
      <c r="O754" s="345">
        <v>43370</v>
      </c>
      <c r="P754" s="345">
        <v>43370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2020</v>
      </c>
      <c r="N755" s="344">
        <v>0</v>
      </c>
      <c r="O755" s="345">
        <v>43370</v>
      </c>
      <c r="P755" s="345">
        <v>43370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1</v>
      </c>
      <c r="M756" s="343">
        <v>2019</v>
      </c>
      <c r="N756" s="344">
        <v>0</v>
      </c>
      <c r="O756" s="345">
        <v>43370</v>
      </c>
      <c r="P756" s="345">
        <v>43370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4</v>
      </c>
      <c r="M757" s="343">
        <v>2022</v>
      </c>
      <c r="N757" s="344">
        <v>0</v>
      </c>
      <c r="O757" s="345">
        <v>43370</v>
      </c>
      <c r="P757" s="345">
        <v>43370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3</v>
      </c>
      <c r="M758" s="343">
        <v>2021</v>
      </c>
      <c r="N758" s="344">
        <v>0</v>
      </c>
      <c r="O758" s="345">
        <v>43370</v>
      </c>
      <c r="P758" s="345">
        <v>43370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6</v>
      </c>
      <c r="M759" s="343">
        <v>2024</v>
      </c>
      <c r="N759" s="344">
        <v>0</v>
      </c>
      <c r="O759" s="345">
        <v>43370</v>
      </c>
      <c r="P759" s="345">
        <v>43370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1</v>
      </c>
      <c r="M760" s="343">
        <v>2019</v>
      </c>
      <c r="N760" s="344">
        <v>1860004</v>
      </c>
      <c r="O760" s="345">
        <v>43370</v>
      </c>
      <c r="P760" s="345">
        <v>43370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7</v>
      </c>
      <c r="M761" s="343">
        <v>2025</v>
      </c>
      <c r="N761" s="344">
        <v>1000000</v>
      </c>
      <c r="O761" s="345">
        <v>43370</v>
      </c>
      <c r="P761" s="345">
        <v>43370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6</v>
      </c>
      <c r="M762" s="343">
        <v>2024</v>
      </c>
      <c r="N762" s="344">
        <v>1250000</v>
      </c>
      <c r="O762" s="345">
        <v>43370</v>
      </c>
      <c r="P762" s="345">
        <v>43370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5</v>
      </c>
      <c r="M763" s="343">
        <v>2023</v>
      </c>
      <c r="N763" s="344">
        <v>2418000</v>
      </c>
      <c r="O763" s="345">
        <v>43370</v>
      </c>
      <c r="P763" s="345">
        <v>43370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4</v>
      </c>
      <c r="M764" s="343">
        <v>2022</v>
      </c>
      <c r="N764" s="344">
        <v>2250004</v>
      </c>
      <c r="O764" s="345">
        <v>43370</v>
      </c>
      <c r="P764" s="345">
        <v>43370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2</v>
      </c>
      <c r="M765" s="343">
        <v>2020</v>
      </c>
      <c r="N765" s="344">
        <v>2210004</v>
      </c>
      <c r="O765" s="345">
        <v>43370</v>
      </c>
      <c r="P765" s="345">
        <v>43370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2018</v>
      </c>
      <c r="N766" s="344">
        <v>0</v>
      </c>
      <c r="O766" s="345">
        <v>43370</v>
      </c>
      <c r="P766" s="345">
        <v>43370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3</v>
      </c>
      <c r="M767" s="343">
        <v>2021</v>
      </c>
      <c r="N767" s="344">
        <v>2210004</v>
      </c>
      <c r="O767" s="345">
        <v>43370</v>
      </c>
      <c r="P767" s="345">
        <v>43370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8</v>
      </c>
      <c r="M768" s="343">
        <v>2026</v>
      </c>
      <c r="N768" s="344">
        <v>531933.73</v>
      </c>
      <c r="O768" s="345">
        <v>43370</v>
      </c>
      <c r="P768" s="345">
        <v>43370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5</v>
      </c>
      <c r="M769" s="343">
        <v>2023</v>
      </c>
      <c r="N769" s="344">
        <v>0</v>
      </c>
      <c r="O769" s="345">
        <v>43370</v>
      </c>
      <c r="P769" s="345">
        <v>43370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0</v>
      </c>
      <c r="M770" s="343">
        <v>2018</v>
      </c>
      <c r="N770" s="344">
        <v>13112517.16</v>
      </c>
      <c r="O770" s="345">
        <v>43370</v>
      </c>
      <c r="P770" s="345">
        <v>43370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1</v>
      </c>
      <c r="M771" s="343">
        <v>2019</v>
      </c>
      <c r="N771" s="344">
        <v>8868000</v>
      </c>
      <c r="O771" s="345">
        <v>43370</v>
      </c>
      <c r="P771" s="345">
        <v>43370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4</v>
      </c>
      <c r="M772" s="343">
        <v>2022</v>
      </c>
      <c r="N772" s="344">
        <v>0</v>
      </c>
      <c r="O772" s="345">
        <v>43370</v>
      </c>
      <c r="P772" s="345">
        <v>43370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6</v>
      </c>
      <c r="M773" s="343">
        <v>2024</v>
      </c>
      <c r="N773" s="344">
        <v>0</v>
      </c>
      <c r="O773" s="345">
        <v>43370</v>
      </c>
      <c r="P773" s="345">
        <v>43370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2</v>
      </c>
      <c r="M774" s="343">
        <v>2020</v>
      </c>
      <c r="N774" s="344">
        <v>2578762.71</v>
      </c>
      <c r="O774" s="345">
        <v>43370</v>
      </c>
      <c r="P774" s="345">
        <v>43370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8</v>
      </c>
      <c r="M775" s="343">
        <v>2026</v>
      </c>
      <c r="N775" s="344">
        <v>0</v>
      </c>
      <c r="O775" s="345">
        <v>43370</v>
      </c>
      <c r="P775" s="345">
        <v>43370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2021</v>
      </c>
      <c r="N776" s="344">
        <v>0</v>
      </c>
      <c r="O776" s="345">
        <v>43370</v>
      </c>
      <c r="P776" s="345">
        <v>43370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7</v>
      </c>
      <c r="M777" s="343">
        <v>2025</v>
      </c>
      <c r="N777" s="344">
        <v>0</v>
      </c>
      <c r="O777" s="345">
        <v>43370</v>
      </c>
      <c r="P777" s="345">
        <v>43370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2</v>
      </c>
      <c r="M778" s="343">
        <v>2020</v>
      </c>
      <c r="N778" s="344">
        <v>0.0545</v>
      </c>
      <c r="O778" s="345">
        <v>43370</v>
      </c>
      <c r="P778" s="345">
        <v>43370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7</v>
      </c>
      <c r="M779" s="343">
        <v>2025</v>
      </c>
      <c r="N779" s="344">
        <v>0.0233</v>
      </c>
      <c r="O779" s="345">
        <v>43370</v>
      </c>
      <c r="P779" s="345">
        <v>43370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1</v>
      </c>
      <c r="M780" s="343">
        <v>2019</v>
      </c>
      <c r="N780" s="344">
        <v>0.044</v>
      </c>
      <c r="O780" s="345">
        <v>43370</v>
      </c>
      <c r="P780" s="345">
        <v>43370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3</v>
      </c>
      <c r="M781" s="343">
        <v>2021</v>
      </c>
      <c r="N781" s="344">
        <v>0.0549</v>
      </c>
      <c r="O781" s="345">
        <v>43370</v>
      </c>
      <c r="P781" s="345">
        <v>43370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6</v>
      </c>
      <c r="M782" s="343">
        <v>2024</v>
      </c>
      <c r="N782" s="344">
        <v>0.0296</v>
      </c>
      <c r="O782" s="345">
        <v>43370</v>
      </c>
      <c r="P782" s="345">
        <v>43370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8</v>
      </c>
      <c r="M783" s="343">
        <v>2026</v>
      </c>
      <c r="N783" s="344">
        <v>0.0135</v>
      </c>
      <c r="O783" s="345">
        <v>43370</v>
      </c>
      <c r="P783" s="345">
        <v>43370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0</v>
      </c>
      <c r="M784" s="343">
        <v>2018</v>
      </c>
      <c r="N784" s="344">
        <v>0.0366</v>
      </c>
      <c r="O784" s="345">
        <v>43370</v>
      </c>
      <c r="P784" s="345">
        <v>43370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4</v>
      </c>
      <c r="M785" s="343">
        <v>2022</v>
      </c>
      <c r="N785" s="344">
        <v>0.0533</v>
      </c>
      <c r="O785" s="345">
        <v>43370</v>
      </c>
      <c r="P785" s="345">
        <v>43370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5</v>
      </c>
      <c r="M786" s="343">
        <v>2023</v>
      </c>
      <c r="N786" s="344">
        <v>0.0541</v>
      </c>
      <c r="O786" s="345">
        <v>43370</v>
      </c>
      <c r="P786" s="345">
        <v>43370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0</v>
      </c>
      <c r="M787" s="343">
        <v>2018</v>
      </c>
      <c r="N787" s="344">
        <v>0</v>
      </c>
      <c r="O787" s="345">
        <v>43370</v>
      </c>
      <c r="P787" s="345">
        <v>43370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7</v>
      </c>
      <c r="M788" s="343">
        <v>2025</v>
      </c>
      <c r="N788" s="344">
        <v>0</v>
      </c>
      <c r="O788" s="345">
        <v>43370</v>
      </c>
      <c r="P788" s="345">
        <v>43370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2</v>
      </c>
      <c r="M789" s="343">
        <v>2020</v>
      </c>
      <c r="N789" s="344">
        <v>0</v>
      </c>
      <c r="O789" s="345">
        <v>43370</v>
      </c>
      <c r="P789" s="345">
        <v>43370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8</v>
      </c>
      <c r="M790" s="343">
        <v>2026</v>
      </c>
      <c r="N790" s="344">
        <v>0</v>
      </c>
      <c r="O790" s="345">
        <v>43370</v>
      </c>
      <c r="P790" s="345">
        <v>43370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6</v>
      </c>
      <c r="M791" s="343">
        <v>2024</v>
      </c>
      <c r="N791" s="344">
        <v>0</v>
      </c>
      <c r="O791" s="345">
        <v>43370</v>
      </c>
      <c r="P791" s="345">
        <v>43370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3</v>
      </c>
      <c r="M792" s="343">
        <v>2021</v>
      </c>
      <c r="N792" s="344">
        <v>0</v>
      </c>
      <c r="O792" s="345">
        <v>43370</v>
      </c>
      <c r="P792" s="345">
        <v>43370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4</v>
      </c>
      <c r="M793" s="343">
        <v>2022</v>
      </c>
      <c r="N793" s="344">
        <v>0</v>
      </c>
      <c r="O793" s="345">
        <v>43370</v>
      </c>
      <c r="P793" s="345">
        <v>43370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1</v>
      </c>
      <c r="M794" s="343">
        <v>2019</v>
      </c>
      <c r="N794" s="344">
        <v>0</v>
      </c>
      <c r="O794" s="345">
        <v>43370</v>
      </c>
      <c r="P794" s="345">
        <v>43370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5</v>
      </c>
      <c r="M795" s="343">
        <v>2023</v>
      </c>
      <c r="N795" s="344">
        <v>0</v>
      </c>
      <c r="O795" s="345">
        <v>43370</v>
      </c>
      <c r="P795" s="345">
        <v>43370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3</v>
      </c>
      <c r="M796" s="343">
        <v>2021</v>
      </c>
      <c r="N796" s="344">
        <v>12400000</v>
      </c>
      <c r="O796" s="345">
        <v>43370</v>
      </c>
      <c r="P796" s="345">
        <v>43370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4</v>
      </c>
      <c r="M797" s="343">
        <v>2022</v>
      </c>
      <c r="N797" s="344">
        <v>0</v>
      </c>
      <c r="O797" s="345">
        <v>43370</v>
      </c>
      <c r="P797" s="345">
        <v>43370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0</v>
      </c>
      <c r="M798" s="343">
        <v>2018</v>
      </c>
      <c r="N798" s="344">
        <v>10192000</v>
      </c>
      <c r="O798" s="345">
        <v>43370</v>
      </c>
      <c r="P798" s="345">
        <v>43370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2</v>
      </c>
      <c r="M799" s="343">
        <v>2020</v>
      </c>
      <c r="N799" s="344">
        <v>11200000</v>
      </c>
      <c r="O799" s="345">
        <v>43370</v>
      </c>
      <c r="P799" s="345">
        <v>43370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8</v>
      </c>
      <c r="M800" s="343">
        <v>2026</v>
      </c>
      <c r="N800" s="344">
        <v>0</v>
      </c>
      <c r="O800" s="345">
        <v>43370</v>
      </c>
      <c r="P800" s="345">
        <v>43370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6</v>
      </c>
      <c r="M801" s="343">
        <v>2024</v>
      </c>
      <c r="N801" s="344">
        <v>0</v>
      </c>
      <c r="O801" s="345">
        <v>43370</v>
      </c>
      <c r="P801" s="345">
        <v>43370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1</v>
      </c>
      <c r="M802" s="343">
        <v>2019</v>
      </c>
      <c r="N802" s="344">
        <v>10700000</v>
      </c>
      <c r="O802" s="345">
        <v>43370</v>
      </c>
      <c r="P802" s="345">
        <v>43370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5</v>
      </c>
      <c r="M803" s="343">
        <v>2023</v>
      </c>
      <c r="N803" s="344">
        <v>0</v>
      </c>
      <c r="O803" s="345">
        <v>43370</v>
      </c>
      <c r="P803" s="345">
        <v>43370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7</v>
      </c>
      <c r="M804" s="343">
        <v>2025</v>
      </c>
      <c r="N804" s="344">
        <v>0</v>
      </c>
      <c r="O804" s="345">
        <v>43370</v>
      </c>
      <c r="P804" s="345">
        <v>43370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4</v>
      </c>
      <c r="M805" s="343">
        <v>2022</v>
      </c>
      <c r="N805" s="344">
        <v>2250004</v>
      </c>
      <c r="O805" s="345">
        <v>43370</v>
      </c>
      <c r="P805" s="345">
        <v>43370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7</v>
      </c>
      <c r="M806" s="343">
        <v>2025</v>
      </c>
      <c r="N806" s="344">
        <v>1000000</v>
      </c>
      <c r="O806" s="345">
        <v>43370</v>
      </c>
      <c r="P806" s="345">
        <v>43370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6</v>
      </c>
      <c r="M807" s="343">
        <v>2024</v>
      </c>
      <c r="N807" s="344">
        <v>1250000</v>
      </c>
      <c r="O807" s="345">
        <v>43370</v>
      </c>
      <c r="P807" s="345">
        <v>43370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1</v>
      </c>
      <c r="M808" s="343">
        <v>2019</v>
      </c>
      <c r="N808" s="344">
        <v>1860004</v>
      </c>
      <c r="O808" s="345">
        <v>43370</v>
      </c>
      <c r="P808" s="345">
        <v>43370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5</v>
      </c>
      <c r="M809" s="343">
        <v>2023</v>
      </c>
      <c r="N809" s="344">
        <v>2418000</v>
      </c>
      <c r="O809" s="345">
        <v>43370</v>
      </c>
      <c r="P809" s="345">
        <v>43370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8</v>
      </c>
      <c r="M810" s="343">
        <v>2026</v>
      </c>
      <c r="N810" s="344">
        <v>531933.73</v>
      </c>
      <c r="O810" s="345">
        <v>43370</v>
      </c>
      <c r="P810" s="345">
        <v>43370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3</v>
      </c>
      <c r="M811" s="343">
        <v>2021</v>
      </c>
      <c r="N811" s="344">
        <v>2210004</v>
      </c>
      <c r="O811" s="345">
        <v>43370</v>
      </c>
      <c r="P811" s="345">
        <v>43370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2</v>
      </c>
      <c r="M812" s="343">
        <v>2020</v>
      </c>
      <c r="N812" s="344">
        <v>2210004</v>
      </c>
      <c r="O812" s="345">
        <v>43370</v>
      </c>
      <c r="P812" s="345">
        <v>43370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0</v>
      </c>
      <c r="M813" s="343">
        <v>2018</v>
      </c>
      <c r="N813" s="344">
        <v>-1319502.62</v>
      </c>
      <c r="O813" s="345">
        <v>43370</v>
      </c>
      <c r="P813" s="345">
        <v>43370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8</v>
      </c>
      <c r="M814" s="343">
        <v>2026</v>
      </c>
      <c r="N814" s="344">
        <v>0</v>
      </c>
      <c r="O814" s="345">
        <v>43370</v>
      </c>
      <c r="P814" s="345">
        <v>43370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4</v>
      </c>
      <c r="M815" s="343">
        <v>2022</v>
      </c>
      <c r="N815" s="344">
        <v>0</v>
      </c>
      <c r="O815" s="345">
        <v>43370</v>
      </c>
      <c r="P815" s="345">
        <v>43370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3</v>
      </c>
      <c r="M816" s="343">
        <v>2021</v>
      </c>
      <c r="N816" s="344">
        <v>0</v>
      </c>
      <c r="O816" s="345">
        <v>43370</v>
      </c>
      <c r="P816" s="345">
        <v>43370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0</v>
      </c>
      <c r="M817" s="343">
        <v>2018</v>
      </c>
      <c r="N817" s="344">
        <v>0</v>
      </c>
      <c r="O817" s="345">
        <v>43370</v>
      </c>
      <c r="P817" s="345">
        <v>43370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6</v>
      </c>
      <c r="M818" s="343">
        <v>2024</v>
      </c>
      <c r="N818" s="344">
        <v>0</v>
      </c>
      <c r="O818" s="345">
        <v>43370</v>
      </c>
      <c r="P818" s="345">
        <v>43370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1</v>
      </c>
      <c r="M819" s="343">
        <v>2019</v>
      </c>
      <c r="N819" s="344">
        <v>0</v>
      </c>
      <c r="O819" s="345">
        <v>43370</v>
      </c>
      <c r="P819" s="345">
        <v>43370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5</v>
      </c>
      <c r="M820" s="343">
        <v>2023</v>
      </c>
      <c r="N820" s="344">
        <v>0</v>
      </c>
      <c r="O820" s="345">
        <v>43370</v>
      </c>
      <c r="P820" s="345">
        <v>43370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2</v>
      </c>
      <c r="M821" s="343">
        <v>2020</v>
      </c>
      <c r="N821" s="344">
        <v>0</v>
      </c>
      <c r="O821" s="345">
        <v>43370</v>
      </c>
      <c r="P821" s="345">
        <v>43370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7</v>
      </c>
      <c r="M822" s="343">
        <v>2025</v>
      </c>
      <c r="N822" s="344">
        <v>0</v>
      </c>
      <c r="O822" s="345">
        <v>43370</v>
      </c>
      <c r="P822" s="345">
        <v>43370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8</v>
      </c>
      <c r="M823" s="343">
        <v>2026</v>
      </c>
      <c r="N823" s="344">
        <v>0</v>
      </c>
      <c r="O823" s="345">
        <v>43370</v>
      </c>
      <c r="P823" s="345">
        <v>43370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6</v>
      </c>
      <c r="M824" s="343">
        <v>2024</v>
      </c>
      <c r="N824" s="344">
        <v>0</v>
      </c>
      <c r="O824" s="345">
        <v>43370</v>
      </c>
      <c r="P824" s="345">
        <v>43370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0</v>
      </c>
      <c r="M825" s="343">
        <v>2018</v>
      </c>
      <c r="N825" s="344">
        <v>4950000</v>
      </c>
      <c r="O825" s="345">
        <v>43370</v>
      </c>
      <c r="P825" s="345">
        <v>43370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5</v>
      </c>
      <c r="M826" s="343">
        <v>2023</v>
      </c>
      <c r="N826" s="344">
        <v>0</v>
      </c>
      <c r="O826" s="345">
        <v>43370</v>
      </c>
      <c r="P826" s="345">
        <v>43370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2</v>
      </c>
      <c r="M827" s="343">
        <v>2020</v>
      </c>
      <c r="N827" s="344">
        <v>5300000</v>
      </c>
      <c r="O827" s="345">
        <v>43370</v>
      </c>
      <c r="P827" s="345">
        <v>43370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3</v>
      </c>
      <c r="M828" s="343">
        <v>2021</v>
      </c>
      <c r="N828" s="344">
        <v>5500000</v>
      </c>
      <c r="O828" s="345">
        <v>43370</v>
      </c>
      <c r="P828" s="345">
        <v>43370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4</v>
      </c>
      <c r="M829" s="343">
        <v>2022</v>
      </c>
      <c r="N829" s="344">
        <v>0</v>
      </c>
      <c r="O829" s="345">
        <v>43370</v>
      </c>
      <c r="P829" s="345">
        <v>43370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1</v>
      </c>
      <c r="M830" s="343">
        <v>2019</v>
      </c>
      <c r="N830" s="344">
        <v>5100000</v>
      </c>
      <c r="O830" s="345">
        <v>43370</v>
      </c>
      <c r="P830" s="345">
        <v>43370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7</v>
      </c>
      <c r="M831" s="343">
        <v>2025</v>
      </c>
      <c r="N831" s="344">
        <v>0</v>
      </c>
      <c r="O831" s="345">
        <v>43370</v>
      </c>
      <c r="P831" s="345">
        <v>43370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4</v>
      </c>
      <c r="M832" s="343">
        <v>2022</v>
      </c>
      <c r="N832" s="344">
        <v>0</v>
      </c>
      <c r="O832" s="345">
        <v>43370</v>
      </c>
      <c r="P832" s="345">
        <v>43370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1</v>
      </c>
      <c r="M833" s="343">
        <v>2019</v>
      </c>
      <c r="N833" s="344">
        <v>0</v>
      </c>
      <c r="O833" s="345">
        <v>43370</v>
      </c>
      <c r="P833" s="345">
        <v>43370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8</v>
      </c>
      <c r="M834" s="343">
        <v>2026</v>
      </c>
      <c r="N834" s="344">
        <v>0</v>
      </c>
      <c r="O834" s="345">
        <v>43370</v>
      </c>
      <c r="P834" s="345">
        <v>43370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5</v>
      </c>
      <c r="M835" s="343">
        <v>2023</v>
      </c>
      <c r="N835" s="344">
        <v>0</v>
      </c>
      <c r="O835" s="345">
        <v>43370</v>
      </c>
      <c r="P835" s="345">
        <v>43370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7</v>
      </c>
      <c r="M836" s="343">
        <v>2025</v>
      </c>
      <c r="N836" s="344">
        <v>0</v>
      </c>
      <c r="O836" s="345">
        <v>43370</v>
      </c>
      <c r="P836" s="345">
        <v>43370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0</v>
      </c>
      <c r="M837" s="343">
        <v>2018</v>
      </c>
      <c r="N837" s="344">
        <v>0</v>
      </c>
      <c r="O837" s="345">
        <v>43370</v>
      </c>
      <c r="P837" s="345">
        <v>43370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3</v>
      </c>
      <c r="M838" s="343">
        <v>2021</v>
      </c>
      <c r="N838" s="344">
        <v>0</v>
      </c>
      <c r="O838" s="345">
        <v>43370</v>
      </c>
      <c r="P838" s="345">
        <v>43370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2</v>
      </c>
      <c r="M839" s="343">
        <v>2020</v>
      </c>
      <c r="N839" s="344">
        <v>0</v>
      </c>
      <c r="O839" s="345">
        <v>43370</v>
      </c>
      <c r="P839" s="345">
        <v>43370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6</v>
      </c>
      <c r="M840" s="343">
        <v>2024</v>
      </c>
      <c r="N840" s="344">
        <v>0</v>
      </c>
      <c r="O840" s="345">
        <v>43370</v>
      </c>
      <c r="P840" s="345">
        <v>43370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3</v>
      </c>
      <c r="M841" s="343">
        <v>2021</v>
      </c>
      <c r="N841" s="344">
        <v>0</v>
      </c>
      <c r="O841" s="345">
        <v>43370</v>
      </c>
      <c r="P841" s="345">
        <v>43370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7</v>
      </c>
      <c r="M842" s="343">
        <v>2025</v>
      </c>
      <c r="N842" s="344">
        <v>0</v>
      </c>
      <c r="O842" s="345">
        <v>43370</v>
      </c>
      <c r="P842" s="345">
        <v>43370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2</v>
      </c>
      <c r="M843" s="343">
        <v>2020</v>
      </c>
      <c r="N843" s="344">
        <v>0</v>
      </c>
      <c r="O843" s="345">
        <v>43370</v>
      </c>
      <c r="P843" s="345">
        <v>43370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8</v>
      </c>
      <c r="M844" s="343">
        <v>2026</v>
      </c>
      <c r="N844" s="344">
        <v>0</v>
      </c>
      <c r="O844" s="345">
        <v>43370</v>
      </c>
      <c r="P844" s="345">
        <v>43370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5</v>
      </c>
      <c r="M845" s="343">
        <v>2023</v>
      </c>
      <c r="N845" s="344">
        <v>0</v>
      </c>
      <c r="O845" s="345">
        <v>43370</v>
      </c>
      <c r="P845" s="345">
        <v>43370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0</v>
      </c>
      <c r="M846" s="343">
        <v>2018</v>
      </c>
      <c r="N846" s="344">
        <v>0</v>
      </c>
      <c r="O846" s="345">
        <v>43370</v>
      </c>
      <c r="P846" s="345">
        <v>43370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1</v>
      </c>
      <c r="M847" s="343">
        <v>2019</v>
      </c>
      <c r="N847" s="344">
        <v>0</v>
      </c>
      <c r="O847" s="345">
        <v>43370</v>
      </c>
      <c r="P847" s="345">
        <v>43370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4</v>
      </c>
      <c r="M848" s="343">
        <v>2022</v>
      </c>
      <c r="N848" s="344">
        <v>0</v>
      </c>
      <c r="O848" s="345">
        <v>43370</v>
      </c>
      <c r="P848" s="345">
        <v>43370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6</v>
      </c>
      <c r="M849" s="343">
        <v>2024</v>
      </c>
      <c r="N849" s="344">
        <v>0</v>
      </c>
      <c r="O849" s="345">
        <v>43370</v>
      </c>
      <c r="P849" s="345">
        <v>43370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5</v>
      </c>
      <c r="M850" s="343">
        <v>2023</v>
      </c>
      <c r="N850" s="344">
        <v>0</v>
      </c>
      <c r="O850" s="345">
        <v>43370</v>
      </c>
      <c r="P850" s="345">
        <v>43370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8</v>
      </c>
      <c r="M851" s="343">
        <v>2026</v>
      </c>
      <c r="N851" s="344">
        <v>0</v>
      </c>
      <c r="O851" s="345">
        <v>43370</v>
      </c>
      <c r="P851" s="345">
        <v>43370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3</v>
      </c>
      <c r="M852" s="343">
        <v>2021</v>
      </c>
      <c r="N852" s="344">
        <v>0</v>
      </c>
      <c r="O852" s="345">
        <v>43370</v>
      </c>
      <c r="P852" s="345">
        <v>43370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4</v>
      </c>
      <c r="M853" s="343">
        <v>2022</v>
      </c>
      <c r="N853" s="344">
        <v>0</v>
      </c>
      <c r="O853" s="345">
        <v>43370</v>
      </c>
      <c r="P853" s="345">
        <v>43370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0</v>
      </c>
      <c r="M854" s="343">
        <v>2018</v>
      </c>
      <c r="N854" s="344">
        <v>0</v>
      </c>
      <c r="O854" s="345">
        <v>43370</v>
      </c>
      <c r="P854" s="345">
        <v>43370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2</v>
      </c>
      <c r="M855" s="343">
        <v>2020</v>
      </c>
      <c r="N855" s="344">
        <v>0</v>
      </c>
      <c r="O855" s="345">
        <v>43370</v>
      </c>
      <c r="P855" s="345">
        <v>43370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7</v>
      </c>
      <c r="M856" s="343">
        <v>2025</v>
      </c>
      <c r="N856" s="344">
        <v>0</v>
      </c>
      <c r="O856" s="345">
        <v>43370</v>
      </c>
      <c r="P856" s="345">
        <v>43370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1</v>
      </c>
      <c r="M857" s="343">
        <v>2019</v>
      </c>
      <c r="N857" s="344">
        <v>0</v>
      </c>
      <c r="O857" s="345">
        <v>43370</v>
      </c>
      <c r="P857" s="345">
        <v>43370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6</v>
      </c>
      <c r="M858" s="343">
        <v>2024</v>
      </c>
      <c r="N858" s="344">
        <v>0</v>
      </c>
      <c r="O858" s="345">
        <v>43370</v>
      </c>
      <c r="P858" s="345">
        <v>43370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2</v>
      </c>
      <c r="M859" s="343">
        <v>2020</v>
      </c>
      <c r="N859" s="344">
        <v>14960</v>
      </c>
      <c r="O859" s="345">
        <v>43370</v>
      </c>
      <c r="P859" s="345">
        <v>43370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5</v>
      </c>
      <c r="M860" s="343">
        <v>2023</v>
      </c>
      <c r="N860" s="344">
        <v>0</v>
      </c>
      <c r="O860" s="345">
        <v>43370</v>
      </c>
      <c r="P860" s="345">
        <v>43370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8</v>
      </c>
      <c r="M861" s="343">
        <v>2026</v>
      </c>
      <c r="N861" s="344">
        <v>0</v>
      </c>
      <c r="O861" s="345">
        <v>43370</v>
      </c>
      <c r="P861" s="345">
        <v>43370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7</v>
      </c>
      <c r="M862" s="343">
        <v>2025</v>
      </c>
      <c r="N862" s="344">
        <v>0</v>
      </c>
      <c r="O862" s="345">
        <v>43370</v>
      </c>
      <c r="P862" s="345">
        <v>43370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4</v>
      </c>
      <c r="M863" s="343">
        <v>2022</v>
      </c>
      <c r="N863" s="344">
        <v>0</v>
      </c>
      <c r="O863" s="345">
        <v>43370</v>
      </c>
      <c r="P863" s="345">
        <v>43370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0</v>
      </c>
      <c r="M864" s="343">
        <v>2018</v>
      </c>
      <c r="N864" s="344">
        <v>91600.46</v>
      </c>
      <c r="O864" s="345">
        <v>43370</v>
      </c>
      <c r="P864" s="345">
        <v>43370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1</v>
      </c>
      <c r="M865" s="343">
        <v>2019</v>
      </c>
      <c r="N865" s="344">
        <v>51843.64</v>
      </c>
      <c r="O865" s="345">
        <v>43370</v>
      </c>
      <c r="P865" s="345">
        <v>43370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6</v>
      </c>
      <c r="M866" s="343">
        <v>2024</v>
      </c>
      <c r="N866" s="344">
        <v>0</v>
      </c>
      <c r="O866" s="345">
        <v>43370</v>
      </c>
      <c r="P866" s="345">
        <v>43370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3</v>
      </c>
      <c r="M867" s="343">
        <v>2021</v>
      </c>
      <c r="N867" s="344">
        <v>0</v>
      </c>
      <c r="O867" s="345">
        <v>43370</v>
      </c>
      <c r="P867" s="345">
        <v>43370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6</v>
      </c>
      <c r="M868" s="343">
        <v>2024</v>
      </c>
      <c r="N868" s="344">
        <v>0</v>
      </c>
      <c r="O868" s="345">
        <v>43370</v>
      </c>
      <c r="P868" s="345">
        <v>43370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2</v>
      </c>
      <c r="M869" s="343">
        <v>2020</v>
      </c>
      <c r="N869" s="344">
        <v>0</v>
      </c>
      <c r="O869" s="345">
        <v>43370</v>
      </c>
      <c r="P869" s="345">
        <v>43370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7</v>
      </c>
      <c r="M870" s="343">
        <v>2025</v>
      </c>
      <c r="N870" s="344">
        <v>0</v>
      </c>
      <c r="O870" s="345">
        <v>43370</v>
      </c>
      <c r="P870" s="345">
        <v>43370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8</v>
      </c>
      <c r="M871" s="343">
        <v>2026</v>
      </c>
      <c r="N871" s="344">
        <v>0</v>
      </c>
      <c r="O871" s="345">
        <v>43370</v>
      </c>
      <c r="P871" s="345">
        <v>43370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1</v>
      </c>
      <c r="M872" s="343">
        <v>2019</v>
      </c>
      <c r="N872" s="344">
        <v>0</v>
      </c>
      <c r="O872" s="345">
        <v>43370</v>
      </c>
      <c r="P872" s="345">
        <v>43370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4</v>
      </c>
      <c r="M873" s="343">
        <v>2022</v>
      </c>
      <c r="N873" s="344">
        <v>0</v>
      </c>
      <c r="O873" s="345">
        <v>43370</v>
      </c>
      <c r="P873" s="345">
        <v>43370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0</v>
      </c>
      <c r="M874" s="343">
        <v>2018</v>
      </c>
      <c r="N874" s="344">
        <v>0</v>
      </c>
      <c r="O874" s="345">
        <v>43370</v>
      </c>
      <c r="P874" s="345">
        <v>43370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5</v>
      </c>
      <c r="M875" s="343">
        <v>2023</v>
      </c>
      <c r="N875" s="344">
        <v>0</v>
      </c>
      <c r="O875" s="345">
        <v>43370</v>
      </c>
      <c r="P875" s="345">
        <v>43370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5</v>
      </c>
      <c r="M876" s="343">
        <v>2023</v>
      </c>
      <c r="N876" s="344">
        <v>0</v>
      </c>
      <c r="O876" s="345">
        <v>43370</v>
      </c>
      <c r="P876" s="345">
        <v>43370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3</v>
      </c>
      <c r="M877" s="343">
        <v>2021</v>
      </c>
      <c r="N877" s="344">
        <v>0</v>
      </c>
      <c r="O877" s="345">
        <v>43370</v>
      </c>
      <c r="P877" s="345">
        <v>43370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0</v>
      </c>
      <c r="M878" s="343">
        <v>2018</v>
      </c>
      <c r="N878" s="344">
        <v>1345896.51</v>
      </c>
      <c r="O878" s="345">
        <v>43370</v>
      </c>
      <c r="P878" s="345">
        <v>43370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4</v>
      </c>
      <c r="M879" s="343">
        <v>2022</v>
      </c>
      <c r="N879" s="344">
        <v>0</v>
      </c>
      <c r="O879" s="345">
        <v>43370</v>
      </c>
      <c r="P879" s="345">
        <v>43370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2</v>
      </c>
      <c r="M880" s="343">
        <v>2020</v>
      </c>
      <c r="N880" s="344">
        <v>2320009.41</v>
      </c>
      <c r="O880" s="345">
        <v>43370</v>
      </c>
      <c r="P880" s="345">
        <v>43370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5</v>
      </c>
      <c r="M881" s="343">
        <v>2023</v>
      </c>
      <c r="N881" s="344">
        <v>0</v>
      </c>
      <c r="O881" s="345">
        <v>43370</v>
      </c>
      <c r="P881" s="345">
        <v>43370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1</v>
      </c>
      <c r="M882" s="343">
        <v>2019</v>
      </c>
      <c r="N882" s="344">
        <v>2923872.01</v>
      </c>
      <c r="O882" s="345">
        <v>43370</v>
      </c>
      <c r="P882" s="345">
        <v>43370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7</v>
      </c>
      <c r="M883" s="343">
        <v>2025</v>
      </c>
      <c r="N883" s="344">
        <v>0</v>
      </c>
      <c r="O883" s="345">
        <v>43370</v>
      </c>
      <c r="P883" s="345">
        <v>43370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8</v>
      </c>
      <c r="M884" s="343">
        <v>2026</v>
      </c>
      <c r="N884" s="344">
        <v>0</v>
      </c>
      <c r="O884" s="345">
        <v>43370</v>
      </c>
      <c r="P884" s="345">
        <v>43370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3</v>
      </c>
      <c r="M885" s="343">
        <v>2021</v>
      </c>
      <c r="N885" s="344">
        <v>0</v>
      </c>
      <c r="O885" s="345">
        <v>43370</v>
      </c>
      <c r="P885" s="345">
        <v>43370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6</v>
      </c>
      <c r="M886" s="343">
        <v>2024</v>
      </c>
      <c r="N886" s="344">
        <v>0</v>
      </c>
      <c r="O886" s="345">
        <v>43370</v>
      </c>
      <c r="P886" s="345">
        <v>43370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7</v>
      </c>
      <c r="M887" s="343">
        <v>2025</v>
      </c>
      <c r="N887" s="344">
        <v>0</v>
      </c>
      <c r="O887" s="345">
        <v>43370</v>
      </c>
      <c r="P887" s="345">
        <v>43370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3</v>
      </c>
      <c r="M888" s="343">
        <v>2021</v>
      </c>
      <c r="N888" s="344">
        <v>0</v>
      </c>
      <c r="O888" s="345">
        <v>43370</v>
      </c>
      <c r="P888" s="345">
        <v>43370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2</v>
      </c>
      <c r="M889" s="343">
        <v>2020</v>
      </c>
      <c r="N889" s="344">
        <v>0</v>
      </c>
      <c r="O889" s="345">
        <v>43370</v>
      </c>
      <c r="P889" s="345">
        <v>43370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4</v>
      </c>
      <c r="M890" s="343">
        <v>2022</v>
      </c>
      <c r="N890" s="344">
        <v>0</v>
      </c>
      <c r="O890" s="345">
        <v>43370</v>
      </c>
      <c r="P890" s="345">
        <v>43370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8</v>
      </c>
      <c r="M891" s="343">
        <v>2026</v>
      </c>
      <c r="N891" s="344">
        <v>0</v>
      </c>
      <c r="O891" s="345">
        <v>43370</v>
      </c>
      <c r="P891" s="345">
        <v>43370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1</v>
      </c>
      <c r="M892" s="343">
        <v>2019</v>
      </c>
      <c r="N892" s="344">
        <v>0</v>
      </c>
      <c r="O892" s="345">
        <v>43370</v>
      </c>
      <c r="P892" s="345">
        <v>43370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0</v>
      </c>
      <c r="M893" s="343">
        <v>2018</v>
      </c>
      <c r="N893" s="344">
        <v>0</v>
      </c>
      <c r="O893" s="345">
        <v>43370</v>
      </c>
      <c r="P893" s="345">
        <v>43370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6</v>
      </c>
      <c r="M894" s="343">
        <v>2024</v>
      </c>
      <c r="N894" s="344">
        <v>0</v>
      </c>
      <c r="O894" s="345">
        <v>43370</v>
      </c>
      <c r="P894" s="345">
        <v>43370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2</v>
      </c>
      <c r="M895" s="343">
        <v>2020</v>
      </c>
      <c r="N895" s="344">
        <v>493</v>
      </c>
      <c r="O895" s="345">
        <v>43370</v>
      </c>
      <c r="P895" s="345">
        <v>43370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0</v>
      </c>
      <c r="M896" s="343">
        <v>2018</v>
      </c>
      <c r="N896" s="344">
        <v>371</v>
      </c>
      <c r="O896" s="345">
        <v>43370</v>
      </c>
      <c r="P896" s="345">
        <v>43370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3</v>
      </c>
      <c r="M897" s="343">
        <v>2021</v>
      </c>
      <c r="N897" s="344">
        <v>562</v>
      </c>
      <c r="O897" s="345">
        <v>43370</v>
      </c>
      <c r="P897" s="345">
        <v>43370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7</v>
      </c>
      <c r="M898" s="343">
        <v>2025</v>
      </c>
      <c r="N898" s="344">
        <v>1251</v>
      </c>
      <c r="O898" s="345">
        <v>43370</v>
      </c>
      <c r="P898" s="345">
        <v>43370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6</v>
      </c>
      <c r="M899" s="343">
        <v>2024</v>
      </c>
      <c r="N899" s="344">
        <v>1031</v>
      </c>
      <c r="O899" s="345">
        <v>43370</v>
      </c>
      <c r="P899" s="345">
        <v>43370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8</v>
      </c>
      <c r="M900" s="343">
        <v>2026</v>
      </c>
      <c r="N900" s="344">
        <v>1497</v>
      </c>
      <c r="O900" s="345">
        <v>43370</v>
      </c>
      <c r="P900" s="345">
        <v>43370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5</v>
      </c>
      <c r="M901" s="343">
        <v>2023</v>
      </c>
      <c r="N901" s="344">
        <v>602</v>
      </c>
      <c r="O901" s="345">
        <v>43370</v>
      </c>
      <c r="P901" s="345">
        <v>43370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4</v>
      </c>
      <c r="M902" s="343">
        <v>2022</v>
      </c>
      <c r="N902" s="344">
        <v>695</v>
      </c>
      <c r="O902" s="345">
        <v>43370</v>
      </c>
      <c r="P902" s="345">
        <v>43370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1</v>
      </c>
      <c r="M903" s="343">
        <v>2019</v>
      </c>
      <c r="N903" s="344">
        <v>327</v>
      </c>
      <c r="O903" s="345">
        <v>43370</v>
      </c>
      <c r="P903" s="345">
        <v>43370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1</v>
      </c>
      <c r="M904" s="343">
        <v>2019</v>
      </c>
      <c r="N904" s="344">
        <v>0</v>
      </c>
      <c r="O904" s="345">
        <v>43370</v>
      </c>
      <c r="P904" s="345">
        <v>43370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6</v>
      </c>
      <c r="M905" s="343">
        <v>2024</v>
      </c>
      <c r="N905" s="344">
        <v>0</v>
      </c>
      <c r="O905" s="345">
        <v>43370</v>
      </c>
      <c r="P905" s="345">
        <v>43370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2</v>
      </c>
      <c r="M906" s="343">
        <v>2020</v>
      </c>
      <c r="N906" s="344">
        <v>0</v>
      </c>
      <c r="O906" s="345">
        <v>43370</v>
      </c>
      <c r="P906" s="345">
        <v>43370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3</v>
      </c>
      <c r="M907" s="343">
        <v>2021</v>
      </c>
      <c r="N907" s="344">
        <v>0</v>
      </c>
      <c r="O907" s="345">
        <v>43370</v>
      </c>
      <c r="P907" s="345">
        <v>43370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7</v>
      </c>
      <c r="M908" s="343">
        <v>2025</v>
      </c>
      <c r="N908" s="344">
        <v>0</v>
      </c>
      <c r="O908" s="345">
        <v>43370</v>
      </c>
      <c r="P908" s="345">
        <v>43370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4</v>
      </c>
      <c r="M909" s="343">
        <v>2022</v>
      </c>
      <c r="N909" s="344">
        <v>0</v>
      </c>
      <c r="O909" s="345">
        <v>43370</v>
      </c>
      <c r="P909" s="345">
        <v>43370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8</v>
      </c>
      <c r="M910" s="343">
        <v>2026</v>
      </c>
      <c r="N910" s="344">
        <v>0</v>
      </c>
      <c r="O910" s="345">
        <v>43370</v>
      </c>
      <c r="P910" s="345">
        <v>43370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0</v>
      </c>
      <c r="M911" s="343">
        <v>2018</v>
      </c>
      <c r="N911" s="344">
        <v>0</v>
      </c>
      <c r="O911" s="345">
        <v>43370</v>
      </c>
      <c r="P911" s="345">
        <v>43370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5</v>
      </c>
      <c r="M912" s="343">
        <v>2023</v>
      </c>
      <c r="N912" s="344">
        <v>0</v>
      </c>
      <c r="O912" s="345">
        <v>43370</v>
      </c>
      <c r="P912" s="345">
        <v>43370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5</v>
      </c>
      <c r="M913" s="343">
        <v>2023</v>
      </c>
      <c r="N913" s="344">
        <v>0</v>
      </c>
      <c r="O913" s="345">
        <v>43370</v>
      </c>
      <c r="P913" s="345">
        <v>43370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6</v>
      </c>
      <c r="M914" s="343">
        <v>2024</v>
      </c>
      <c r="N914" s="344">
        <v>0</v>
      </c>
      <c r="O914" s="345">
        <v>43370</v>
      </c>
      <c r="P914" s="345">
        <v>43370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1</v>
      </c>
      <c r="M915" s="343">
        <v>2019</v>
      </c>
      <c r="N915" s="344">
        <v>3680000</v>
      </c>
      <c r="O915" s="345">
        <v>43370</v>
      </c>
      <c r="P915" s="345">
        <v>43370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0</v>
      </c>
      <c r="M916" s="343">
        <v>2018</v>
      </c>
      <c r="N916" s="344">
        <v>3731576</v>
      </c>
      <c r="O916" s="345">
        <v>43370</v>
      </c>
      <c r="P916" s="345">
        <v>43370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3</v>
      </c>
      <c r="M917" s="343">
        <v>2021</v>
      </c>
      <c r="N917" s="344">
        <v>3820000</v>
      </c>
      <c r="O917" s="345">
        <v>43370</v>
      </c>
      <c r="P917" s="345">
        <v>43370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8</v>
      </c>
      <c r="M918" s="343">
        <v>2026</v>
      </c>
      <c r="N918" s="344">
        <v>0</v>
      </c>
      <c r="O918" s="345">
        <v>43370</v>
      </c>
      <c r="P918" s="345">
        <v>43370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2</v>
      </c>
      <c r="M919" s="343">
        <v>2020</v>
      </c>
      <c r="N919" s="344">
        <v>3750000</v>
      </c>
      <c r="O919" s="345">
        <v>43370</v>
      </c>
      <c r="P919" s="345">
        <v>43370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7</v>
      </c>
      <c r="M920" s="343">
        <v>2025</v>
      </c>
      <c r="N920" s="344">
        <v>0</v>
      </c>
      <c r="O920" s="345">
        <v>43370</v>
      </c>
      <c r="P920" s="345">
        <v>43370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4</v>
      </c>
      <c r="M921" s="343">
        <v>2022</v>
      </c>
      <c r="N921" s="344">
        <v>0</v>
      </c>
      <c r="O921" s="345">
        <v>43370</v>
      </c>
      <c r="P921" s="345">
        <v>43370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3</v>
      </c>
      <c r="M922" s="343">
        <v>2021</v>
      </c>
      <c r="N922" s="344">
        <v>0</v>
      </c>
      <c r="O922" s="345">
        <v>43370</v>
      </c>
      <c r="P922" s="345">
        <v>43370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8</v>
      </c>
      <c r="M923" s="343">
        <v>2026</v>
      </c>
      <c r="N923" s="344">
        <v>0</v>
      </c>
      <c r="O923" s="345">
        <v>43370</v>
      </c>
      <c r="P923" s="345">
        <v>43370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7</v>
      </c>
      <c r="M924" s="343">
        <v>2025</v>
      </c>
      <c r="N924" s="344">
        <v>0</v>
      </c>
      <c r="O924" s="345">
        <v>43370</v>
      </c>
      <c r="P924" s="345">
        <v>43370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4</v>
      </c>
      <c r="M925" s="343">
        <v>2022</v>
      </c>
      <c r="N925" s="344">
        <v>0</v>
      </c>
      <c r="O925" s="345">
        <v>43370</v>
      </c>
      <c r="P925" s="345">
        <v>43370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2</v>
      </c>
      <c r="M926" s="343">
        <v>2020</v>
      </c>
      <c r="N926" s="344">
        <v>1801250.1</v>
      </c>
      <c r="O926" s="345">
        <v>43370</v>
      </c>
      <c r="P926" s="345">
        <v>43370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1</v>
      </c>
      <c r="M927" s="343">
        <v>2019</v>
      </c>
      <c r="N927" s="344">
        <v>2968000</v>
      </c>
      <c r="O927" s="345">
        <v>43370</v>
      </c>
      <c r="P927" s="345">
        <v>43370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5</v>
      </c>
      <c r="M928" s="343">
        <v>2023</v>
      </c>
      <c r="N928" s="344">
        <v>0</v>
      </c>
      <c r="O928" s="345">
        <v>43370</v>
      </c>
      <c r="P928" s="345">
        <v>43370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6</v>
      </c>
      <c r="M929" s="343">
        <v>2024</v>
      </c>
      <c r="N929" s="344">
        <v>0</v>
      </c>
      <c r="O929" s="345">
        <v>43370</v>
      </c>
      <c r="P929" s="345">
        <v>43370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0</v>
      </c>
      <c r="M930" s="343">
        <v>2018</v>
      </c>
      <c r="N930" s="344">
        <v>3201404.52</v>
      </c>
      <c r="O930" s="345">
        <v>43370</v>
      </c>
      <c r="P930" s="345">
        <v>43370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4</v>
      </c>
      <c r="M931" s="343">
        <v>2022</v>
      </c>
      <c r="N931" s="344">
        <v>0</v>
      </c>
      <c r="O931" s="345">
        <v>43370</v>
      </c>
      <c r="P931" s="345">
        <v>43370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2</v>
      </c>
      <c r="M932" s="343">
        <v>2020</v>
      </c>
      <c r="N932" s="344">
        <v>0</v>
      </c>
      <c r="O932" s="345">
        <v>43370</v>
      </c>
      <c r="P932" s="345">
        <v>43370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3</v>
      </c>
      <c r="M933" s="343">
        <v>2021</v>
      </c>
      <c r="N933" s="344">
        <v>0</v>
      </c>
      <c r="O933" s="345">
        <v>43370</v>
      </c>
      <c r="P933" s="345">
        <v>43370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0</v>
      </c>
      <c r="M934" s="343">
        <v>2018</v>
      </c>
      <c r="N934" s="344">
        <v>0</v>
      </c>
      <c r="O934" s="345">
        <v>43370</v>
      </c>
      <c r="P934" s="345">
        <v>43370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5</v>
      </c>
      <c r="M935" s="343">
        <v>2023</v>
      </c>
      <c r="N935" s="344">
        <v>0</v>
      </c>
      <c r="O935" s="345">
        <v>43370</v>
      </c>
      <c r="P935" s="345">
        <v>43370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6</v>
      </c>
      <c r="M936" s="343">
        <v>2024</v>
      </c>
      <c r="N936" s="344">
        <v>0</v>
      </c>
      <c r="O936" s="345">
        <v>43370</v>
      </c>
      <c r="P936" s="345">
        <v>43370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7</v>
      </c>
      <c r="M937" s="343">
        <v>2025</v>
      </c>
      <c r="N937" s="344">
        <v>0</v>
      </c>
      <c r="O937" s="345">
        <v>43370</v>
      </c>
      <c r="P937" s="345">
        <v>43370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8</v>
      </c>
      <c r="M938" s="343">
        <v>2026</v>
      </c>
      <c r="N938" s="344">
        <v>0</v>
      </c>
      <c r="O938" s="345">
        <v>43370</v>
      </c>
      <c r="P938" s="345">
        <v>43370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1</v>
      </c>
      <c r="M939" s="343">
        <v>2019</v>
      </c>
      <c r="N939" s="344">
        <v>0</v>
      </c>
      <c r="O939" s="345">
        <v>43370</v>
      </c>
      <c r="P939" s="345">
        <v>43370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2</v>
      </c>
      <c r="M940" s="343">
        <v>2020</v>
      </c>
      <c r="N940" s="344">
        <v>0</v>
      </c>
      <c r="O940" s="345">
        <v>43370</v>
      </c>
      <c r="P940" s="345">
        <v>43370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8</v>
      </c>
      <c r="M941" s="343">
        <v>2026</v>
      </c>
      <c r="N941" s="344">
        <v>0</v>
      </c>
      <c r="O941" s="345">
        <v>43370</v>
      </c>
      <c r="P941" s="345">
        <v>43370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7</v>
      </c>
      <c r="M942" s="343">
        <v>2025</v>
      </c>
      <c r="N942" s="344">
        <v>0</v>
      </c>
      <c r="O942" s="345">
        <v>43370</v>
      </c>
      <c r="P942" s="345">
        <v>43370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5</v>
      </c>
      <c r="M943" s="343">
        <v>2023</v>
      </c>
      <c r="N943" s="344">
        <v>0</v>
      </c>
      <c r="O943" s="345">
        <v>43370</v>
      </c>
      <c r="P943" s="345">
        <v>43370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1</v>
      </c>
      <c r="M944" s="343">
        <v>2019</v>
      </c>
      <c r="N944" s="344">
        <v>0</v>
      </c>
      <c r="O944" s="345">
        <v>43370</v>
      </c>
      <c r="P944" s="345">
        <v>43370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0</v>
      </c>
      <c r="M945" s="343">
        <v>2018</v>
      </c>
      <c r="N945" s="344">
        <v>0</v>
      </c>
      <c r="O945" s="345">
        <v>43370</v>
      </c>
      <c r="P945" s="345">
        <v>43370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6</v>
      </c>
      <c r="M946" s="343">
        <v>2024</v>
      </c>
      <c r="N946" s="344">
        <v>0</v>
      </c>
      <c r="O946" s="345">
        <v>43370</v>
      </c>
      <c r="P946" s="345">
        <v>43370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3</v>
      </c>
      <c r="M947" s="343">
        <v>2021</v>
      </c>
      <c r="N947" s="344">
        <v>0</v>
      </c>
      <c r="O947" s="345">
        <v>43370</v>
      </c>
      <c r="P947" s="345">
        <v>43370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4</v>
      </c>
      <c r="M948" s="343">
        <v>2022</v>
      </c>
      <c r="N948" s="344">
        <v>0</v>
      </c>
      <c r="O948" s="345">
        <v>43370</v>
      </c>
      <c r="P948" s="345">
        <v>43370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3</v>
      </c>
      <c r="M949" s="343">
        <v>2021</v>
      </c>
      <c r="N949" s="344">
        <v>0</v>
      </c>
      <c r="O949" s="345">
        <v>43370</v>
      </c>
      <c r="P949" s="345">
        <v>43370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2</v>
      </c>
      <c r="M950" s="343">
        <v>2020</v>
      </c>
      <c r="N950" s="344">
        <v>0</v>
      </c>
      <c r="O950" s="345">
        <v>43370</v>
      </c>
      <c r="P950" s="345">
        <v>43370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0</v>
      </c>
      <c r="M951" s="343">
        <v>2018</v>
      </c>
      <c r="N951" s="344">
        <v>0</v>
      </c>
      <c r="O951" s="345">
        <v>43370</v>
      </c>
      <c r="P951" s="345">
        <v>43370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8</v>
      </c>
      <c r="M952" s="343">
        <v>2026</v>
      </c>
      <c r="N952" s="344">
        <v>0</v>
      </c>
      <c r="O952" s="345">
        <v>43370</v>
      </c>
      <c r="P952" s="345">
        <v>43370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7</v>
      </c>
      <c r="M953" s="343">
        <v>2025</v>
      </c>
      <c r="N953" s="344">
        <v>0</v>
      </c>
      <c r="O953" s="345">
        <v>43370</v>
      </c>
      <c r="P953" s="345">
        <v>43370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6</v>
      </c>
      <c r="M954" s="343">
        <v>2024</v>
      </c>
      <c r="N954" s="344">
        <v>0</v>
      </c>
      <c r="O954" s="345">
        <v>43370</v>
      </c>
      <c r="P954" s="345">
        <v>43370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1</v>
      </c>
      <c r="M955" s="343">
        <v>2019</v>
      </c>
      <c r="N955" s="344">
        <v>0</v>
      </c>
      <c r="O955" s="345">
        <v>43370</v>
      </c>
      <c r="P955" s="345">
        <v>43370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5</v>
      </c>
      <c r="M956" s="343">
        <v>2023</v>
      </c>
      <c r="N956" s="344">
        <v>0</v>
      </c>
      <c r="O956" s="345">
        <v>43370</v>
      </c>
      <c r="P956" s="345">
        <v>43370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4</v>
      </c>
      <c r="M957" s="343">
        <v>2022</v>
      </c>
      <c r="N957" s="344">
        <v>0</v>
      </c>
      <c r="O957" s="345">
        <v>43370</v>
      </c>
      <c r="P957" s="345">
        <v>43370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1</v>
      </c>
      <c r="M958" s="343">
        <v>2019</v>
      </c>
      <c r="N958" s="344">
        <v>4950000</v>
      </c>
      <c r="O958" s="345">
        <v>43370</v>
      </c>
      <c r="P958" s="345">
        <v>43370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3</v>
      </c>
      <c r="M959" s="343">
        <v>2021</v>
      </c>
      <c r="N959" s="344">
        <v>0</v>
      </c>
      <c r="O959" s="345">
        <v>43370</v>
      </c>
      <c r="P959" s="345">
        <v>43370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8</v>
      </c>
      <c r="M960" s="343">
        <v>2026</v>
      </c>
      <c r="N960" s="344">
        <v>0</v>
      </c>
      <c r="O960" s="345">
        <v>43370</v>
      </c>
      <c r="P960" s="345">
        <v>43370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0</v>
      </c>
      <c r="M961" s="343">
        <v>2018</v>
      </c>
      <c r="N961" s="344">
        <v>1655000</v>
      </c>
      <c r="O961" s="345">
        <v>43370</v>
      </c>
      <c r="P961" s="345">
        <v>43370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4</v>
      </c>
      <c r="M962" s="343">
        <v>2022</v>
      </c>
      <c r="N962" s="344">
        <v>0</v>
      </c>
      <c r="O962" s="345">
        <v>43370</v>
      </c>
      <c r="P962" s="345">
        <v>43370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2</v>
      </c>
      <c r="M963" s="343">
        <v>2020</v>
      </c>
      <c r="N963" s="344">
        <v>0</v>
      </c>
      <c r="O963" s="345">
        <v>43370</v>
      </c>
      <c r="P963" s="345">
        <v>43370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5</v>
      </c>
      <c r="M964" s="343">
        <v>2023</v>
      </c>
      <c r="N964" s="344">
        <v>0</v>
      </c>
      <c r="O964" s="345">
        <v>43370</v>
      </c>
      <c r="P964" s="345">
        <v>43370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6</v>
      </c>
      <c r="M965" s="343">
        <v>2024</v>
      </c>
      <c r="N965" s="344">
        <v>0</v>
      </c>
      <c r="O965" s="345">
        <v>43370</v>
      </c>
      <c r="P965" s="345">
        <v>43370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7</v>
      </c>
      <c r="M966" s="343">
        <v>2025</v>
      </c>
      <c r="N966" s="344">
        <v>0</v>
      </c>
      <c r="O966" s="345">
        <v>43370</v>
      </c>
      <c r="P966" s="345">
        <v>43370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6</v>
      </c>
      <c r="M967" s="343">
        <v>2024</v>
      </c>
      <c r="N967" s="344">
        <v>0</v>
      </c>
      <c r="O967" s="345">
        <v>43370</v>
      </c>
      <c r="P967" s="345">
        <v>43370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2</v>
      </c>
      <c r="M968" s="343">
        <v>2020</v>
      </c>
      <c r="N968" s="344">
        <v>0</v>
      </c>
      <c r="O968" s="345">
        <v>43370</v>
      </c>
      <c r="P968" s="345">
        <v>43370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0</v>
      </c>
      <c r="M969" s="343">
        <v>2018</v>
      </c>
      <c r="N969" s="344">
        <v>0</v>
      </c>
      <c r="O969" s="345">
        <v>43370</v>
      </c>
      <c r="P969" s="345">
        <v>43370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3</v>
      </c>
      <c r="M970" s="343">
        <v>2021</v>
      </c>
      <c r="N970" s="344">
        <v>0</v>
      </c>
      <c r="O970" s="345">
        <v>43370</v>
      </c>
      <c r="P970" s="345">
        <v>43370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1</v>
      </c>
      <c r="M971" s="343">
        <v>2019</v>
      </c>
      <c r="N971" s="344">
        <v>0</v>
      </c>
      <c r="O971" s="345">
        <v>43370</v>
      </c>
      <c r="P971" s="345">
        <v>43370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8</v>
      </c>
      <c r="M972" s="343">
        <v>2026</v>
      </c>
      <c r="N972" s="344">
        <v>0</v>
      </c>
      <c r="O972" s="345">
        <v>43370</v>
      </c>
      <c r="P972" s="345">
        <v>43370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5</v>
      </c>
      <c r="M973" s="343">
        <v>2023</v>
      </c>
      <c r="N973" s="344">
        <v>0</v>
      </c>
      <c r="O973" s="345">
        <v>43370</v>
      </c>
      <c r="P973" s="345">
        <v>43370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4</v>
      </c>
      <c r="M974" s="343">
        <v>2022</v>
      </c>
      <c r="N974" s="344">
        <v>0</v>
      </c>
      <c r="O974" s="345">
        <v>43370</v>
      </c>
      <c r="P974" s="345">
        <v>43370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7</v>
      </c>
      <c r="M975" s="343">
        <v>2025</v>
      </c>
      <c r="N975" s="344">
        <v>0</v>
      </c>
      <c r="O975" s="345">
        <v>43370</v>
      </c>
      <c r="P975" s="345">
        <v>43370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8</v>
      </c>
      <c r="M976" s="343">
        <v>2026</v>
      </c>
      <c r="N976" s="344">
        <v>0</v>
      </c>
      <c r="O976" s="345">
        <v>43370</v>
      </c>
      <c r="P976" s="345">
        <v>43370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3</v>
      </c>
      <c r="M977" s="343">
        <v>2021</v>
      </c>
      <c r="N977" s="344">
        <v>0</v>
      </c>
      <c r="O977" s="345">
        <v>43370</v>
      </c>
      <c r="P977" s="345">
        <v>43370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6</v>
      </c>
      <c r="M978" s="343">
        <v>2024</v>
      </c>
      <c r="N978" s="344">
        <v>0</v>
      </c>
      <c r="O978" s="345">
        <v>43370</v>
      </c>
      <c r="P978" s="345">
        <v>43370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2</v>
      </c>
      <c r="M979" s="343">
        <v>2020</v>
      </c>
      <c r="N979" s="344">
        <v>0</v>
      </c>
      <c r="O979" s="345">
        <v>43370</v>
      </c>
      <c r="P979" s="345">
        <v>43370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4</v>
      </c>
      <c r="M980" s="343">
        <v>2022</v>
      </c>
      <c r="N980" s="344">
        <v>0</v>
      </c>
      <c r="O980" s="345">
        <v>43370</v>
      </c>
      <c r="P980" s="345">
        <v>43370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5</v>
      </c>
      <c r="M981" s="343">
        <v>2023</v>
      </c>
      <c r="N981" s="344">
        <v>0</v>
      </c>
      <c r="O981" s="345">
        <v>43370</v>
      </c>
      <c r="P981" s="345">
        <v>43370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7</v>
      </c>
      <c r="M982" s="343">
        <v>2025</v>
      </c>
      <c r="N982" s="344">
        <v>0</v>
      </c>
      <c r="O982" s="345">
        <v>43370</v>
      </c>
      <c r="P982" s="345">
        <v>43370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0</v>
      </c>
      <c r="M983" s="343">
        <v>2018</v>
      </c>
      <c r="N983" s="344">
        <v>0</v>
      </c>
      <c r="O983" s="345">
        <v>43370</v>
      </c>
      <c r="P983" s="345">
        <v>43370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1</v>
      </c>
      <c r="M984" s="343">
        <v>2019</v>
      </c>
      <c r="N984" s="344">
        <v>0</v>
      </c>
      <c r="O984" s="345">
        <v>43370</v>
      </c>
      <c r="P984" s="345">
        <v>43370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2018-09-28T10:57:33Z</cp:lastPrinted>
  <dcterms:created xsi:type="dcterms:W3CDTF">2010-09-17T02:30:46Z</dcterms:created>
  <dcterms:modified xsi:type="dcterms:W3CDTF">2018-09-28T10:58:36Z</dcterms:modified>
  <cp:category/>
  <cp:version/>
  <cp:contentType/>
  <cp:contentStatus/>
  <cp:revision>1</cp:revision>
</cp:coreProperties>
</file>